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Pregabalin" sheetId="3" r:id="rId3"/>
    <sheet name="Sheet1" sheetId="4" r:id="rId4"/>
  </sheets>
  <definedNames>
    <definedName name="_xlnm.Print_Area" localSheetId="1">Uniformity!$A$1:$G$52</definedName>
  </definedNames>
  <calcPr calcId="145621"/>
</workbook>
</file>

<file path=xl/calcChain.xml><?xml version="1.0" encoding="utf-8"?>
<calcChain xmlns="http://schemas.openxmlformats.org/spreadsheetml/2006/main">
  <c r="G120" i="3" l="1"/>
  <c r="F112" i="3"/>
  <c r="F110" i="3"/>
  <c r="F108" i="3"/>
  <c r="B116" i="3"/>
  <c r="H68" i="3"/>
  <c r="H64" i="3"/>
  <c r="H60" i="3"/>
  <c r="N21" i="4" l="1"/>
  <c r="I26" i="4"/>
  <c r="B87" i="3"/>
  <c r="D100" i="3"/>
  <c r="G38" i="3"/>
  <c r="E38" i="3"/>
  <c r="B57" i="3"/>
  <c r="B30" i="3"/>
  <c r="B34" i="3"/>
  <c r="C120" i="3"/>
  <c r="B98" i="3"/>
  <c r="F97" i="3"/>
  <c r="F95" i="3"/>
  <c r="D95" i="3"/>
  <c r="D97" i="3"/>
  <c r="B81" i="3"/>
  <c r="B83" i="3" s="1"/>
  <c r="B80" i="3"/>
  <c r="B79" i="3"/>
  <c r="C76" i="3"/>
  <c r="B68" i="3"/>
  <c r="B69" i="3" s="1"/>
  <c r="C56" i="3"/>
  <c r="B55" i="3"/>
  <c r="B45" i="3"/>
  <c r="D48" i="3" s="1"/>
  <c r="F42" i="3"/>
  <c r="D42" i="3"/>
  <c r="F44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I92" i="3"/>
  <c r="F45" i="3"/>
  <c r="F46" i="3" s="1"/>
  <c r="F98" i="3"/>
  <c r="D98" i="3"/>
  <c r="D44" i="3"/>
  <c r="D45" i="3" s="1"/>
  <c r="D46" i="3" s="1"/>
  <c r="I39" i="3"/>
  <c r="E29" i="2"/>
  <c r="E33" i="2"/>
  <c r="E23" i="2"/>
  <c r="E27" i="2"/>
  <c r="E39" i="2"/>
  <c r="G40" i="3"/>
  <c r="D49" i="3"/>
  <c r="G41" i="3"/>
  <c r="E41" i="3"/>
  <c r="D43" i="2"/>
  <c r="E91" i="3" l="1"/>
  <c r="G91" i="3"/>
  <c r="D102" i="3"/>
  <c r="D99" i="3"/>
  <c r="F99" i="3"/>
  <c r="G93" i="3"/>
  <c r="E93" i="3"/>
  <c r="G92" i="3"/>
  <c r="G39" i="3"/>
  <c r="G42" i="3" s="1"/>
  <c r="E92" i="3"/>
  <c r="E40" i="3"/>
  <c r="E39" i="3"/>
  <c r="D47" i="2"/>
  <c r="E26" i="2"/>
  <c r="C47" i="2"/>
  <c r="E40" i="2"/>
  <c r="E36" i="2"/>
  <c r="E32" i="2"/>
  <c r="E28" i="2"/>
  <c r="E22" i="2"/>
  <c r="D48" i="2"/>
  <c r="B47" i="2"/>
  <c r="C48" i="2"/>
  <c r="E38" i="2"/>
  <c r="E34" i="2"/>
  <c r="E30" i="2"/>
  <c r="E24" i="2"/>
  <c r="E35" i="2"/>
  <c r="E25" i="2"/>
  <c r="E21" i="2"/>
  <c r="E31" i="2"/>
  <c r="E37" i="2"/>
  <c r="G95" i="3" l="1"/>
  <c r="E95" i="3"/>
  <c r="D103" i="3"/>
  <c r="E108" i="3" s="1"/>
  <c r="D105" i="3"/>
  <c r="D50" i="3"/>
  <c r="G60" i="3" s="1"/>
  <c r="E42" i="3"/>
  <c r="D52" i="3"/>
  <c r="G67" i="3"/>
  <c r="H67" i="3" s="1"/>
  <c r="G62" i="3"/>
  <c r="H62" i="3" s="1"/>
  <c r="E110" i="3" l="1"/>
  <c r="E109" i="3"/>
  <c r="F109" i="3" s="1"/>
  <c r="G69" i="3"/>
  <c r="H69" i="3" s="1"/>
  <c r="D51" i="3"/>
  <c r="G68" i="3"/>
  <c r="G64" i="3"/>
  <c r="G70" i="3"/>
  <c r="H70" i="3" s="1"/>
  <c r="E111" i="3"/>
  <c r="F111" i="3" s="1"/>
  <c r="E113" i="3"/>
  <c r="F113" i="3" s="1"/>
  <c r="E112" i="3"/>
  <c r="D104" i="3"/>
  <c r="G71" i="3"/>
  <c r="H71" i="3" s="1"/>
  <c r="G65" i="3"/>
  <c r="H65" i="3" s="1"/>
  <c r="G61" i="3"/>
  <c r="H61" i="3" s="1"/>
  <c r="G66" i="3"/>
  <c r="H66" i="3" s="1"/>
  <c r="G63" i="3"/>
  <c r="H63" i="3" s="1"/>
  <c r="F117" i="3" l="1"/>
  <c r="F115" i="3"/>
  <c r="H72" i="3"/>
  <c r="G76" i="3" s="1"/>
  <c r="H74" i="3"/>
  <c r="F116" i="3" l="1"/>
  <c r="H73" i="3"/>
</calcChain>
</file>

<file path=xl/sharedStrings.xml><?xml version="1.0" encoding="utf-8"?>
<sst xmlns="http://schemas.openxmlformats.org/spreadsheetml/2006/main" count="240" uniqueCount="130">
  <si>
    <t>HPLC System Suitability Report</t>
  </si>
  <si>
    <t>Analysis Data</t>
  </si>
  <si>
    <t>Assay</t>
  </si>
  <si>
    <t>Sample(s)</t>
  </si>
  <si>
    <t>Reference Substance:</t>
  </si>
  <si>
    <t>Pregavalex Hard Gelatin Capsules</t>
  </si>
  <si>
    <t>% age Purity:</t>
  </si>
  <si>
    <t>NDQD201403298</t>
  </si>
  <si>
    <t>Weight (mg):</t>
  </si>
  <si>
    <t>Pregabalin</t>
  </si>
  <si>
    <t>Standard Conc (mg/mL):</t>
  </si>
  <si>
    <t>Pregabalin 150mg</t>
  </si>
  <si>
    <t>2014-03-25 12:49:25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</si>
  <si>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</si>
  <si>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</si>
  <si>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</si>
  <si>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</si>
  <si>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</si>
  <si>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</si>
  <si>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</si>
  <si>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</si>
  <si>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</si>
  <si>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</si>
  <si>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</si>
  <si>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</si>
  <si>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</si>
  <si>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</si>
  <si>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</si>
  <si>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</si>
  <si>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</si>
  <si>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</si>
  <si>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</si>
  <si>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</si>
  <si>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</si>
  <si>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</si>
  <si>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</si>
  <si>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</si>
  <si>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</si>
  <si>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</si>
  <si>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2015-07-06 11:04:18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</si>
  <si>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</si>
  <si>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</si>
  <si>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</si>
  <si>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</si>
  <si>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</si>
  <si>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</si>
  <si>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</si>
  <si>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</si>
  <si>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</si>
  <si>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</si>
  <si>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</si>
  <si>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</si>
  <si>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</si>
  <si>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</si>
  <si>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</si>
  <si>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</si>
  <si>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</si>
  <si>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</si>
  <si>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</si>
  <si>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</si>
  <si>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</si>
  <si>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</si>
  <si>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</si>
  <si>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</si>
  <si>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</si>
  <si>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</si>
  <si>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</si>
  <si>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</si>
  <si>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</si>
  <si>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</si>
  <si>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</si>
  <si>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</si>
  <si>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</si>
  <si>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</si>
  <si>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</si>
  <si>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</si>
  <si>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</si>
  <si>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</si>
  <si>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</si>
  <si>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</si>
  <si>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</si>
  <si>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</si>
  <si>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</si>
  <si>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</si>
  <si>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</si>
  <si>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</si>
  <si>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</si>
  <si>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</si>
  <si>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</si>
  <si>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</si>
  <si>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</si>
  <si>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</si>
  <si>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</si>
  <si>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</si>
  <si>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</si>
  <si>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</si>
  <si>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</si>
  <si>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</si>
  <si>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</si>
  <si>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</si>
  <si>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</si>
  <si>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</si>
  <si>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</si>
  <si>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</si>
  <si>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</si>
  <si>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</si>
  <si>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</si>
  <si>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</si>
  <si>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</si>
  <si>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</si>
  <si>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</si>
  <si>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</si>
  <si>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</si>
  <si>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</si>
  <si>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</si>
  <si>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</si>
  <si>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</si>
  <si>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</si>
  <si>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</si>
  <si>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</si>
  <si>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</si>
  <si>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</si>
  <si>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</si>
  <si>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</si>
  <si>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</si>
  <si>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</si>
  <si>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</si>
  <si>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</si>
  <si>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P3 2</t>
  </si>
  <si>
    <t>Khadija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</si>
</sst>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4" fillId="2" borderId="0" xfId="0" applyFont="1" applyFill="1"/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3" borderId="3" xfId="0" applyFont="1" applyFill="1" applyBorder="1" applyAlignment="1" applyProtection="1">
      <alignment horizontal="center"/>
      <protection locked="0"/>
    </xf>
    <xf numFmtId="2" fontId="6" fillId="3" borderId="3" xfId="0" applyNumberFormat="1" applyFont="1" applyFill="1" applyBorder="1" applyAlignment="1" applyProtection="1">
      <alignment horizontal="center"/>
      <protection locked="0"/>
    </xf>
    <xf numFmtId="2" fontId="6" fillId="3" borderId="4" xfId="0" applyNumberFormat="1" applyFont="1" applyFill="1" applyBorder="1" applyAlignment="1" applyProtection="1">
      <alignment horizontal="center"/>
      <protection locked="0"/>
    </xf>
    <xf numFmtId="0" fontId="6" fillId="3" borderId="5" xfId="0" applyFont="1" applyFill="1" applyBorder="1" applyAlignment="1" applyProtection="1">
      <alignment horizontal="center"/>
      <protection locked="0"/>
    </xf>
    <xf numFmtId="2" fontId="6" fillId="3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/>
    <xf numFmtId="1" fontId="4" fillId="4" borderId="2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5" fillId="2" borderId="3" xfId="0" applyFont="1" applyFill="1" applyBorder="1"/>
    <xf numFmtId="10" fontId="4" fillId="5" borderId="1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5" fillId="2" borderId="6" xfId="0" applyFont="1" applyFill="1" applyBorder="1"/>
    <xf numFmtId="0" fontId="5" fillId="2" borderId="5" xfId="0" applyFont="1" applyFill="1" applyBorder="1"/>
    <xf numFmtId="0" fontId="4" fillId="4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2" borderId="7" xfId="0" applyFont="1" applyFill="1" applyBorder="1"/>
    <xf numFmtId="0" fontId="5" fillId="2" borderId="8" xfId="0" applyFont="1" applyFill="1" applyBorder="1"/>
    <xf numFmtId="0" fontId="5" fillId="2" borderId="0" xfId="0" applyFont="1" applyFill="1"/>
    <xf numFmtId="0" fontId="5" fillId="2" borderId="0" xfId="0" applyFont="1" applyFill="1" applyAlignment="1" applyProtection="1">
      <alignment horizontal="left"/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7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10" fontId="11" fillId="2" borderId="34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1" fontId="13" fillId="3" borderId="43" xfId="0" applyNumberFormat="1" applyFont="1" applyFill="1" applyBorder="1" applyAlignment="1" applyProtection="1">
      <alignment horizontal="center"/>
      <protection locked="0"/>
    </xf>
    <xf numFmtId="10" fontId="11" fillId="2" borderId="42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" fontId="13" fillId="3" borderId="46" xfId="0" applyNumberFormat="1" applyFont="1" applyFill="1" applyBorder="1" applyAlignment="1" applyProtection="1">
      <alignment horizontal="center"/>
      <protection locked="0"/>
    </xf>
    <xf numFmtId="10" fontId="11" fillId="2" borderId="47" xfId="0" applyNumberFormat="1" applyFont="1" applyFill="1" applyBorder="1" applyAlignment="1">
      <alignment horizontal="center"/>
    </xf>
    <xf numFmtId="2" fontId="11" fillId="2" borderId="36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9" xfId="0" applyNumberFormat="1" applyFont="1" applyFill="1" applyBorder="1" applyAlignment="1">
      <alignment horizontal="center"/>
    </xf>
    <xf numFmtId="0" fontId="11" fillId="2" borderId="35" xfId="0" applyFont="1" applyFill="1" applyBorder="1"/>
    <xf numFmtId="0" fontId="11" fillId="2" borderId="6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60" xfId="0" applyFont="1" applyFill="1" applyBorder="1" applyAlignment="1">
      <alignment horizontal="center"/>
    </xf>
    <xf numFmtId="0" fontId="11" fillId="2" borderId="61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166" fontId="11" fillId="2" borderId="38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66" fontId="11" fillId="2" borderId="46" xfId="0" applyNumberFormat="1" applyFont="1" applyFill="1" applyBorder="1" applyAlignment="1">
      <alignment horizontal="center"/>
    </xf>
    <xf numFmtId="14" fontId="11" fillId="2" borderId="7" xfId="0" applyNumberFormat="1" applyFont="1" applyFill="1" applyBorder="1"/>
    <xf numFmtId="0" fontId="7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62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2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2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5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2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2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9" zoomScale="60" zoomScaleNormal="100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04" t="s">
        <v>0</v>
      </c>
      <c r="B15" s="304"/>
      <c r="C15" s="304"/>
      <c r="D15" s="304"/>
      <c r="E15" s="30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8106706</v>
      </c>
      <c r="C24" s="18">
        <v>7118.8</v>
      </c>
      <c r="D24" s="19">
        <v>1.1000000000000001</v>
      </c>
      <c r="E24" s="20">
        <v>4.7</v>
      </c>
    </row>
    <row r="25" spans="1:6" ht="16.5" customHeight="1" x14ac:dyDescent="0.3">
      <c r="A25" s="17">
        <v>2</v>
      </c>
      <c r="B25" s="18">
        <v>8100143</v>
      </c>
      <c r="C25" s="18">
        <v>7137.9</v>
      </c>
      <c r="D25" s="19">
        <v>1.1000000000000001</v>
      </c>
      <c r="E25" s="19">
        <v>4.7</v>
      </c>
    </row>
    <row r="26" spans="1:6" ht="16.5" customHeight="1" x14ac:dyDescent="0.3">
      <c r="A26" s="17">
        <v>3</v>
      </c>
      <c r="B26" s="18">
        <v>8094294</v>
      </c>
      <c r="C26" s="18">
        <v>7122.6</v>
      </c>
      <c r="D26" s="19">
        <v>1.1000000000000001</v>
      </c>
      <c r="E26" s="19">
        <v>4.7</v>
      </c>
    </row>
    <row r="27" spans="1:6" ht="16.5" customHeight="1" x14ac:dyDescent="0.3">
      <c r="A27" s="17">
        <v>4</v>
      </c>
      <c r="B27" s="18">
        <v>8085301</v>
      </c>
      <c r="C27" s="18">
        <v>7146.2</v>
      </c>
      <c r="D27" s="19">
        <v>1.1000000000000001</v>
      </c>
      <c r="E27" s="19">
        <v>4.7</v>
      </c>
    </row>
    <row r="28" spans="1:6" ht="16.5" customHeight="1" x14ac:dyDescent="0.3">
      <c r="A28" s="17">
        <v>5</v>
      </c>
      <c r="B28" s="18">
        <v>8078490</v>
      </c>
      <c r="C28" s="18">
        <v>7168.7</v>
      </c>
      <c r="D28" s="19">
        <v>1.1000000000000001</v>
      </c>
      <c r="E28" s="19">
        <v>4.7</v>
      </c>
    </row>
    <row r="29" spans="1:6" ht="16.5" customHeight="1" x14ac:dyDescent="0.3">
      <c r="A29" s="17">
        <v>6</v>
      </c>
      <c r="B29" s="21">
        <v>8097734</v>
      </c>
      <c r="C29" s="21">
        <v>7140.2</v>
      </c>
      <c r="D29" s="22">
        <v>1.1000000000000001</v>
      </c>
      <c r="E29" s="22">
        <v>4.7</v>
      </c>
    </row>
    <row r="30" spans="1:6" ht="16.5" customHeight="1" x14ac:dyDescent="0.3">
      <c r="A30" s="23" t="s">
        <v>18</v>
      </c>
      <c r="B30" s="24">
        <f>AVERAGE(B24:B29)</f>
        <v>8093778</v>
      </c>
      <c r="C30" s="25">
        <f>AVERAGE(C24:C29)</f>
        <v>7139.0666666666666</v>
      </c>
      <c r="D30" s="26">
        <f>AVERAGE(D24:D29)</f>
        <v>1.0999999999999999</v>
      </c>
      <c r="E30" s="26">
        <f>AVERAGE(E24:E29)</f>
        <v>4.7</v>
      </c>
    </row>
    <row r="31" spans="1:6" ht="16.5" customHeight="1" x14ac:dyDescent="0.3">
      <c r="A31" s="27" t="s">
        <v>19</v>
      </c>
      <c r="B31" s="28">
        <f>(STDEV(B24:B29)/B30)</f>
        <v>1.2710162070510757E-3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05" t="s">
        <v>26</v>
      </c>
      <c r="C59" s="30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view="pageBreakPreview" topLeftCell="A31" zoomScale="60" zoomScaleNormal="100" workbookViewId="0">
      <selection activeCell="J55" sqref="J55"/>
    </sheetView>
  </sheetViews>
  <sheetFormatPr defaultColWidth="9.140625" defaultRowHeight="16.5" x14ac:dyDescent="0.3"/>
  <cols>
    <col min="1" max="1" width="13.140625" style="23" customWidth="1"/>
    <col min="2" max="2" width="17.85546875" style="3" customWidth="1"/>
    <col min="3" max="3" width="18.85546875" style="23" customWidth="1"/>
    <col min="4" max="4" width="19.7109375" style="24" customWidth="1"/>
    <col min="5" max="5" width="18.42578125" style="23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11" t="s">
        <v>31</v>
      </c>
      <c r="B8" s="311"/>
      <c r="C8" s="311"/>
      <c r="D8" s="311"/>
      <c r="E8" s="311"/>
      <c r="F8" s="311"/>
      <c r="G8" s="311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12" t="s">
        <v>32</v>
      </c>
      <c r="B10" s="312"/>
      <c r="C10" s="312"/>
      <c r="D10" s="312"/>
      <c r="E10" s="312"/>
      <c r="F10" s="312"/>
      <c r="G10" s="312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06" t="s">
        <v>33</v>
      </c>
      <c r="B11" s="306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06" t="s">
        <v>34</v>
      </c>
      <c r="B12" s="306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06" t="s">
        <v>35</v>
      </c>
      <c r="B13" s="306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06" t="s">
        <v>36</v>
      </c>
      <c r="B14" s="306"/>
      <c r="C14" s="310" t="s">
        <v>11</v>
      </c>
      <c r="D14" s="310"/>
      <c r="E14" s="310"/>
      <c r="F14" s="310"/>
      <c r="G14" s="310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06" t="s">
        <v>37</v>
      </c>
      <c r="B15" s="306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06" t="s">
        <v>38</v>
      </c>
      <c r="B16" s="306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07" t="s">
        <v>1</v>
      </c>
      <c r="B18" s="307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293.64999999999998</v>
      </c>
      <c r="C21" s="83">
        <v>76.58</v>
      </c>
      <c r="D21" s="84">
        <f t="shared" ref="D21:D40" si="0">B21-C21</f>
        <v>217.07</v>
      </c>
      <c r="E21" s="85">
        <f t="shared" ref="E21:E40" si="1">(D21-$D$43)/$D$43</f>
        <v>9.8204773933634731E-3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292.95</v>
      </c>
      <c r="C22" s="88">
        <v>76.819999999999993</v>
      </c>
      <c r="D22" s="89">
        <f t="shared" si="0"/>
        <v>216.13</v>
      </c>
      <c r="E22" s="85">
        <f t="shared" si="1"/>
        <v>5.4475504631116669E-3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287.91000000000003</v>
      </c>
      <c r="C23" s="88">
        <v>77.069999999999993</v>
      </c>
      <c r="D23" s="89">
        <f t="shared" si="0"/>
        <v>210.84000000000003</v>
      </c>
      <c r="E23" s="85">
        <f t="shared" si="1"/>
        <v>-1.9161793644369127E-2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293.89999999999998</v>
      </c>
      <c r="C24" s="88">
        <v>75.61</v>
      </c>
      <c r="D24" s="89">
        <f t="shared" si="0"/>
        <v>218.28999999999996</v>
      </c>
      <c r="E24" s="85">
        <f t="shared" si="1"/>
        <v>1.5495978302839096E-2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293.51</v>
      </c>
      <c r="C25" s="88">
        <v>78.23</v>
      </c>
      <c r="D25" s="89">
        <f t="shared" si="0"/>
        <v>215.27999999999997</v>
      </c>
      <c r="E25" s="85">
        <f t="shared" si="1"/>
        <v>1.4933080261817276E-3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292.45</v>
      </c>
      <c r="C26" s="88">
        <v>75.86</v>
      </c>
      <c r="D26" s="89">
        <f t="shared" si="0"/>
        <v>216.58999999999997</v>
      </c>
      <c r="E26" s="85">
        <f t="shared" si="1"/>
        <v>7.587493428979482E-3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293.55</v>
      </c>
      <c r="C27" s="88">
        <v>79.2</v>
      </c>
      <c r="D27" s="89">
        <f t="shared" si="0"/>
        <v>214.35000000000002</v>
      </c>
      <c r="E27" s="85">
        <f t="shared" si="1"/>
        <v>-2.8330984048118577E-3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295.43</v>
      </c>
      <c r="C28" s="88">
        <v>77.62</v>
      </c>
      <c r="D28" s="89">
        <f t="shared" si="0"/>
        <v>217.81</v>
      </c>
      <c r="E28" s="85">
        <f t="shared" si="1"/>
        <v>1.326299433845537E-2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290.75</v>
      </c>
      <c r="C29" s="88">
        <v>79.599999999999994</v>
      </c>
      <c r="D29" s="89">
        <f t="shared" si="0"/>
        <v>211.15</v>
      </c>
      <c r="E29" s="85">
        <f t="shared" si="1"/>
        <v>-1.771965816737131E-2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291.04000000000002</v>
      </c>
      <c r="C30" s="88">
        <v>76.09</v>
      </c>
      <c r="D30" s="89">
        <f t="shared" si="0"/>
        <v>214.95000000000002</v>
      </c>
      <c r="E30" s="85">
        <f t="shared" si="1"/>
        <v>-4.1868449332001497E-5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286.83999999999997</v>
      </c>
      <c r="C31" s="88">
        <v>75.349999999999994</v>
      </c>
      <c r="D31" s="89">
        <f t="shared" si="0"/>
        <v>211.48999999999998</v>
      </c>
      <c r="E31" s="85">
        <f t="shared" si="1"/>
        <v>-1.6137961192599495E-2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291.06</v>
      </c>
      <c r="C32" s="88">
        <v>78.23</v>
      </c>
      <c r="D32" s="89">
        <f t="shared" si="0"/>
        <v>212.82999999999998</v>
      </c>
      <c r="E32" s="85">
        <f t="shared" si="1"/>
        <v>-9.9042142920277403E-3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289.51</v>
      </c>
      <c r="C33" s="88">
        <v>77.72</v>
      </c>
      <c r="D33" s="89">
        <f t="shared" si="0"/>
        <v>211.79</v>
      </c>
      <c r="E33" s="85">
        <f t="shared" si="1"/>
        <v>-1.47423462148595E-2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291.31</v>
      </c>
      <c r="C34" s="88">
        <v>76.37</v>
      </c>
      <c r="D34" s="89">
        <f t="shared" si="0"/>
        <v>214.94</v>
      </c>
      <c r="E34" s="85">
        <f t="shared" si="1"/>
        <v>-8.8388948590089448E-5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295.05</v>
      </c>
      <c r="C35" s="88">
        <v>76.459999999999994</v>
      </c>
      <c r="D35" s="89">
        <f t="shared" si="0"/>
        <v>218.59000000000003</v>
      </c>
      <c r="E35" s="85">
        <f t="shared" si="1"/>
        <v>1.6891593280579355E-2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292.77</v>
      </c>
      <c r="C36" s="88">
        <v>74.97</v>
      </c>
      <c r="D36" s="89">
        <f t="shared" si="0"/>
        <v>217.79999999999998</v>
      </c>
      <c r="E36" s="85">
        <f t="shared" si="1"/>
        <v>1.3216473839197282E-2</v>
      </c>
      <c r="G36" s="66"/>
      <c r="H36" s="66"/>
    </row>
    <row r="37" spans="1:15" ht="15" x14ac:dyDescent="0.3">
      <c r="A37" s="86">
        <v>17</v>
      </c>
      <c r="B37" s="90">
        <v>294.51</v>
      </c>
      <c r="C37" s="88">
        <v>78.02</v>
      </c>
      <c r="D37" s="89">
        <f t="shared" si="0"/>
        <v>216.49</v>
      </c>
      <c r="E37" s="85">
        <f t="shared" si="1"/>
        <v>7.1222884363996604E-3</v>
      </c>
    </row>
    <row r="38" spans="1:15" ht="15" x14ac:dyDescent="0.3">
      <c r="A38" s="86">
        <v>18</v>
      </c>
      <c r="B38" s="90">
        <v>287.16000000000003</v>
      </c>
      <c r="C38" s="88">
        <v>76.52</v>
      </c>
      <c r="D38" s="89">
        <f t="shared" si="0"/>
        <v>210.64000000000004</v>
      </c>
      <c r="E38" s="85">
        <f t="shared" si="1"/>
        <v>-2.0092203629529036E-2</v>
      </c>
    </row>
    <row r="39" spans="1:15" ht="15" x14ac:dyDescent="0.3">
      <c r="A39" s="86">
        <v>19</v>
      </c>
      <c r="B39" s="90">
        <v>293.01</v>
      </c>
      <c r="C39" s="88">
        <v>79.209999999999994</v>
      </c>
      <c r="D39" s="89">
        <f t="shared" si="0"/>
        <v>213.8</v>
      </c>
      <c r="E39" s="85">
        <f t="shared" si="1"/>
        <v>-5.3917258640018024E-3</v>
      </c>
    </row>
    <row r="40" spans="1:15" ht="14.25" customHeight="1" x14ac:dyDescent="0.3">
      <c r="A40" s="91">
        <v>20</v>
      </c>
      <c r="B40" s="92">
        <v>296.37</v>
      </c>
      <c r="C40" s="93">
        <v>78.02</v>
      </c>
      <c r="D40" s="94">
        <f t="shared" si="0"/>
        <v>218.35000000000002</v>
      </c>
      <c r="E40" s="95">
        <f t="shared" si="1"/>
        <v>1.577510129838736E-2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5842.7300000000005</v>
      </c>
      <c r="C42" s="98">
        <f>SUM(C21:C40)</f>
        <v>1543.5500000000002</v>
      </c>
      <c r="D42" s="99">
        <f>SUM(D21:D40)</f>
        <v>4299.1799999999994</v>
      </c>
    </row>
    <row r="43" spans="1:15" ht="15.75" customHeight="1" x14ac:dyDescent="0.3">
      <c r="A43" s="100" t="s">
        <v>47</v>
      </c>
      <c r="B43" s="101">
        <f>AVERAGE(B21:B40)</f>
        <v>292.13650000000001</v>
      </c>
      <c r="C43" s="102">
        <f>AVERAGE(C21:C40)</f>
        <v>77.177500000000009</v>
      </c>
      <c r="D43" s="103">
        <f>AVERAGE(D21:D40)</f>
        <v>214.95899999999997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308">
        <f>D43</f>
        <v>214.95899999999997</v>
      </c>
      <c r="C47" s="107">
        <f>-(IF(D43&gt;300, 7.5%, 10%))</f>
        <v>-0.1</v>
      </c>
      <c r="D47" s="108">
        <f>IF(D43&lt;300, D43*0.9, D43*0.925)</f>
        <v>193.46309999999997</v>
      </c>
    </row>
    <row r="48" spans="1:15" ht="15.75" customHeight="1" x14ac:dyDescent="0.3">
      <c r="B48" s="309"/>
      <c r="C48" s="109">
        <f>+(IF(D43&gt;300, 7.5%, 10%))</f>
        <v>0.1</v>
      </c>
      <c r="D48" s="108">
        <f>IF(D43&lt;300, D43*1.1, D43*1.075)</f>
        <v>236.45489999999998</v>
      </c>
    </row>
    <row r="49" spans="1:7" ht="14.25" customHeight="1" x14ac:dyDescent="0.3">
      <c r="A49" s="110"/>
      <c r="D49" s="111"/>
    </row>
    <row r="50" spans="1:7" ht="15" customHeight="1" x14ac:dyDescent="0.3">
      <c r="B50" s="305" t="s">
        <v>26</v>
      </c>
      <c r="C50" s="305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formatCells="0" formatColumns="0" formatRows="0" insertColumns="0" insertRows="0" insertHyperlinks="0" deleteColumns="0" deleteRows="0" sort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7" priority="1" operator="notBetween">
      <formula>IF(+$D$43&lt;300, -10.5%, -7.5%)</formula>
      <formula>IF(+$D$43&lt;300, 10.5%, 7.5%)</formula>
    </cfRule>
  </conditionalFormatting>
  <conditionalFormatting sqref="E22">
    <cfRule type="cellIs" dxfId="26" priority="2" operator="notBetween">
      <formula>IF(+$D$43&lt;300, -10.5%, -7.5%)</formula>
      <formula>IF(+$D$43&lt;300, 10.5%, 7.5%)</formula>
    </cfRule>
  </conditionalFormatting>
  <conditionalFormatting sqref="E23">
    <cfRule type="cellIs" dxfId="25" priority="3" operator="notBetween">
      <formula>IF(+$D$43&lt;300, -10.5%, -7.5%)</formula>
      <formula>IF(+$D$43&lt;300, 10.5%, 7.5%)</formula>
    </cfRule>
  </conditionalFormatting>
  <conditionalFormatting sqref="E24">
    <cfRule type="cellIs" dxfId="24" priority="4" operator="notBetween">
      <formula>IF(+$D$43&lt;300, -10.5%, -7.5%)</formula>
      <formula>IF(+$D$43&lt;300, 10.5%, 7.5%)</formula>
    </cfRule>
  </conditionalFormatting>
  <conditionalFormatting sqref="E25">
    <cfRule type="cellIs" dxfId="23" priority="5" operator="notBetween">
      <formula>IF(+$D$43&lt;300, -10.5%, -7.5%)</formula>
      <formula>IF(+$D$43&lt;300, 10.5%, 7.5%)</formula>
    </cfRule>
  </conditionalFormatting>
  <conditionalFormatting sqref="E26">
    <cfRule type="cellIs" dxfId="22" priority="6" operator="notBetween">
      <formula>IF(+$D$43&lt;300, -10.5%, -7.5%)</formula>
      <formula>IF(+$D$43&lt;300, 10.5%, 7.5%)</formula>
    </cfRule>
  </conditionalFormatting>
  <conditionalFormatting sqref="E27">
    <cfRule type="cellIs" dxfId="21" priority="7" operator="notBetween">
      <formula>IF(+$D$43&lt;300, -10.5%, -7.5%)</formula>
      <formula>IF(+$D$43&lt;300, 10.5%, 7.5%)</formula>
    </cfRule>
  </conditionalFormatting>
  <conditionalFormatting sqref="E28">
    <cfRule type="cellIs" dxfId="20" priority="8" operator="notBetween">
      <formula>IF(+$D$43&lt;300, -10.5%, -7.5%)</formula>
      <formula>IF(+$D$43&lt;300, 10.5%, 7.5%)</formula>
    </cfRule>
  </conditionalFormatting>
  <conditionalFormatting sqref="E29">
    <cfRule type="cellIs" dxfId="19" priority="9" operator="notBetween">
      <formula>IF(+$D$43&lt;300, -10.5%, -7.5%)</formula>
      <formula>IF(+$D$43&lt;300, 10.5%, 7.5%)</formula>
    </cfRule>
  </conditionalFormatting>
  <conditionalFormatting sqref="E30">
    <cfRule type="cellIs" dxfId="18" priority="10" operator="notBetween">
      <formula>IF(+$D$43&lt;300, -10.5%, -7.5%)</formula>
      <formula>IF(+$D$43&lt;300, 10.5%, 7.5%)</formula>
    </cfRule>
  </conditionalFormatting>
  <conditionalFormatting sqref="E31">
    <cfRule type="cellIs" dxfId="17" priority="11" operator="notBetween">
      <formula>IF(+$D$43&lt;300, -10.5%, -7.5%)</formula>
      <formula>IF(+$D$43&lt;300, 10.5%, 7.5%)</formula>
    </cfRule>
  </conditionalFormatting>
  <conditionalFormatting sqref="E32">
    <cfRule type="cellIs" dxfId="16" priority="12" operator="notBetween">
      <formula>IF(+$D$43&lt;300, -10.5%, -7.5%)</formula>
      <formula>IF(+$D$43&lt;300, 10.5%, 7.5%)</formula>
    </cfRule>
  </conditionalFormatting>
  <conditionalFormatting sqref="E33">
    <cfRule type="cellIs" dxfId="15" priority="13" operator="notBetween">
      <formula>IF(+$D$43&lt;300, -10.5%, -7.5%)</formula>
      <formula>IF(+$D$43&lt;300, 10.5%, 7.5%)</formula>
    </cfRule>
  </conditionalFormatting>
  <conditionalFormatting sqref="E34">
    <cfRule type="cellIs" dxfId="14" priority="14" operator="notBetween">
      <formula>IF(+$D$43&lt;300, -10.5%, -7.5%)</formula>
      <formula>IF(+$D$43&lt;300, 10.5%, 7.5%)</formula>
    </cfRule>
  </conditionalFormatting>
  <conditionalFormatting sqref="E35">
    <cfRule type="cellIs" dxfId="13" priority="15" operator="notBetween">
      <formula>IF(+$D$43&lt;300, -10.5%, -7.5%)</formula>
      <formula>IF(+$D$43&lt;300, 10.5%, 7.5%)</formula>
    </cfRule>
  </conditionalFormatting>
  <conditionalFormatting sqref="E36">
    <cfRule type="cellIs" dxfId="12" priority="16" operator="notBetween">
      <formula>IF(+$D$43&lt;300, -10.5%, -7.5%)</formula>
      <formula>IF(+$D$43&lt;300, 10.5%, 7.5%)</formula>
    </cfRule>
  </conditionalFormatting>
  <conditionalFormatting sqref="E37">
    <cfRule type="cellIs" dxfId="11" priority="17" operator="notBetween">
      <formula>IF(+$D$43&lt;300, -10.5%, -7.5%)</formula>
      <formula>IF(+$D$43&lt;300, 10.5%, 7.5%)</formula>
    </cfRule>
  </conditionalFormatting>
  <conditionalFormatting sqref="E38">
    <cfRule type="cellIs" dxfId="10" priority="18" operator="notBetween">
      <formula>IF(+$D$43&lt;300, -10.5%, -7.5%)</formula>
      <formula>IF(+$D$43&lt;300, 10.5%, 7.5%)</formula>
    </cfRule>
  </conditionalFormatting>
  <conditionalFormatting sqref="E39">
    <cfRule type="cellIs" dxfId="9" priority="19" operator="notBetween">
      <formula>IF(+$D$43&lt;300, -10.5%, -7.5%)</formula>
      <formula>IF(+$D$43&lt;300, 10.5%, 7.5%)</formula>
    </cfRule>
  </conditionalFormatting>
  <conditionalFormatting sqref="E40">
    <cfRule type="cellIs" dxfId="8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showWhiteSpace="0" view="pageLayout" topLeftCell="A81" zoomScale="55" zoomScaleNormal="40" zoomScalePageLayoutView="55" workbookViewId="0">
      <selection activeCell="G121" sqref="G1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3" t="s">
        <v>49</v>
      </c>
      <c r="B1" s="313"/>
      <c r="C1" s="313"/>
      <c r="D1" s="313"/>
      <c r="E1" s="313"/>
      <c r="F1" s="313"/>
      <c r="G1" s="313"/>
      <c r="H1" s="313"/>
      <c r="I1" s="313"/>
    </row>
    <row r="2" spans="1:9" ht="18.75" customHeight="1" x14ac:dyDescent="0.25">
      <c r="A2" s="313"/>
      <c r="B2" s="313"/>
      <c r="C2" s="313"/>
      <c r="D2" s="313"/>
      <c r="E2" s="313"/>
      <c r="F2" s="313"/>
      <c r="G2" s="313"/>
      <c r="H2" s="313"/>
      <c r="I2" s="313"/>
    </row>
    <row r="3" spans="1:9" ht="18.75" customHeight="1" x14ac:dyDescent="0.25">
      <c r="A3" s="313"/>
      <c r="B3" s="313"/>
      <c r="C3" s="313"/>
      <c r="D3" s="313"/>
      <c r="E3" s="313"/>
      <c r="F3" s="313"/>
      <c r="G3" s="313"/>
      <c r="H3" s="313"/>
      <c r="I3" s="313"/>
    </row>
    <row r="4" spans="1:9" ht="18.75" customHeight="1" x14ac:dyDescent="0.25">
      <c r="A4" s="313"/>
      <c r="B4" s="313"/>
      <c r="C4" s="313"/>
      <c r="D4" s="313"/>
      <c r="E4" s="313"/>
      <c r="F4" s="313"/>
      <c r="G4" s="313"/>
      <c r="H4" s="313"/>
      <c r="I4" s="313"/>
    </row>
    <row r="5" spans="1:9" ht="18.75" customHeight="1" x14ac:dyDescent="0.25">
      <c r="A5" s="313"/>
      <c r="B5" s="313"/>
      <c r="C5" s="313"/>
      <c r="D5" s="313"/>
      <c r="E5" s="313"/>
      <c r="F5" s="313"/>
      <c r="G5" s="313"/>
      <c r="H5" s="313"/>
      <c r="I5" s="313"/>
    </row>
    <row r="6" spans="1:9" ht="18.75" customHeight="1" x14ac:dyDescent="0.25">
      <c r="A6" s="313"/>
      <c r="B6" s="313"/>
      <c r="C6" s="313"/>
      <c r="D6" s="313"/>
      <c r="E6" s="313"/>
      <c r="F6" s="313"/>
      <c r="G6" s="313"/>
      <c r="H6" s="313"/>
      <c r="I6" s="313"/>
    </row>
    <row r="7" spans="1:9" ht="18.75" customHeight="1" x14ac:dyDescent="0.25">
      <c r="A7" s="313"/>
      <c r="B7" s="313"/>
      <c r="C7" s="313"/>
      <c r="D7" s="313"/>
      <c r="E7" s="313"/>
      <c r="F7" s="313"/>
      <c r="G7" s="313"/>
      <c r="H7" s="313"/>
      <c r="I7" s="313"/>
    </row>
    <row r="8" spans="1:9" x14ac:dyDescent="0.25">
      <c r="A8" s="314" t="s">
        <v>50</v>
      </c>
      <c r="B8" s="314"/>
      <c r="C8" s="314"/>
      <c r="D8" s="314"/>
      <c r="E8" s="314"/>
      <c r="F8" s="314"/>
      <c r="G8" s="314"/>
      <c r="H8" s="314"/>
      <c r="I8" s="314"/>
    </row>
    <row r="9" spans="1:9" x14ac:dyDescent="0.25">
      <c r="A9" s="314"/>
      <c r="B9" s="314"/>
      <c r="C9" s="314"/>
      <c r="D9" s="314"/>
      <c r="E9" s="314"/>
      <c r="F9" s="314"/>
      <c r="G9" s="314"/>
      <c r="H9" s="314"/>
      <c r="I9" s="314"/>
    </row>
    <row r="10" spans="1:9" x14ac:dyDescent="0.25">
      <c r="A10" s="314"/>
      <c r="B10" s="314"/>
      <c r="C10" s="314"/>
      <c r="D10" s="314"/>
      <c r="E10" s="314"/>
      <c r="F10" s="314"/>
      <c r="G10" s="314"/>
      <c r="H10" s="314"/>
      <c r="I10" s="314"/>
    </row>
    <row r="11" spans="1:9" x14ac:dyDescent="0.25">
      <c r="A11" s="314"/>
      <c r="B11" s="314"/>
      <c r="C11" s="314"/>
      <c r="D11" s="314"/>
      <c r="E11" s="314"/>
      <c r="F11" s="314"/>
      <c r="G11" s="314"/>
      <c r="H11" s="314"/>
      <c r="I11" s="314"/>
    </row>
    <row r="12" spans="1:9" x14ac:dyDescent="0.25">
      <c r="A12" s="314"/>
      <c r="B12" s="314"/>
      <c r="C12" s="314"/>
      <c r="D12" s="314"/>
      <c r="E12" s="314"/>
      <c r="F12" s="314"/>
      <c r="G12" s="314"/>
      <c r="H12" s="314"/>
      <c r="I12" s="314"/>
    </row>
    <row r="13" spans="1:9" x14ac:dyDescent="0.25">
      <c r="A13" s="314"/>
      <c r="B13" s="314"/>
      <c r="C13" s="314"/>
      <c r="D13" s="314"/>
      <c r="E13" s="314"/>
      <c r="F13" s="314"/>
      <c r="G13" s="314"/>
      <c r="H13" s="314"/>
      <c r="I13" s="314"/>
    </row>
    <row r="14" spans="1:9" x14ac:dyDescent="0.25">
      <c r="A14" s="314"/>
      <c r="B14" s="314"/>
      <c r="C14" s="314"/>
      <c r="D14" s="314"/>
      <c r="E14" s="314"/>
      <c r="F14" s="314"/>
      <c r="G14" s="314"/>
      <c r="H14" s="314"/>
      <c r="I14" s="314"/>
    </row>
    <row r="15" spans="1:9" ht="19.5" customHeight="1" x14ac:dyDescent="0.3">
      <c r="A15" s="119"/>
    </row>
    <row r="16" spans="1:9" ht="19.5" customHeight="1" x14ac:dyDescent="0.3">
      <c r="A16" s="347" t="s">
        <v>31</v>
      </c>
      <c r="B16" s="348"/>
      <c r="C16" s="348"/>
      <c r="D16" s="348"/>
      <c r="E16" s="348"/>
      <c r="F16" s="348"/>
      <c r="G16" s="348"/>
      <c r="H16" s="349"/>
    </row>
    <row r="17" spans="1:14" ht="20.25" customHeight="1" x14ac:dyDescent="0.25">
      <c r="A17" s="350" t="s">
        <v>51</v>
      </c>
      <c r="B17" s="350"/>
      <c r="C17" s="350"/>
      <c r="D17" s="350"/>
      <c r="E17" s="350"/>
      <c r="F17" s="350"/>
      <c r="G17" s="350"/>
      <c r="H17" s="350"/>
    </row>
    <row r="18" spans="1:14" ht="26.25" customHeight="1" x14ac:dyDescent="0.4">
      <c r="A18" s="121" t="s">
        <v>33</v>
      </c>
      <c r="B18" s="346" t="s">
        <v>5</v>
      </c>
      <c r="C18" s="346"/>
      <c r="D18" s="291"/>
      <c r="E18" s="122"/>
      <c r="F18" s="123"/>
      <c r="G18" s="123"/>
      <c r="H18" s="123"/>
    </row>
    <row r="19" spans="1:14" ht="26.25" customHeight="1" x14ac:dyDescent="0.4">
      <c r="A19" s="121" t="s">
        <v>34</v>
      </c>
      <c r="B19" s="124" t="s">
        <v>7</v>
      </c>
      <c r="C19" s="293">
        <v>1</v>
      </c>
      <c r="D19" s="123"/>
      <c r="E19" s="123"/>
      <c r="F19" s="123"/>
      <c r="G19" s="123"/>
      <c r="H19" s="123"/>
    </row>
    <row r="20" spans="1:14" ht="26.25" customHeight="1" x14ac:dyDescent="0.4">
      <c r="A20" s="121" t="s">
        <v>35</v>
      </c>
      <c r="B20" s="351" t="s">
        <v>9</v>
      </c>
      <c r="C20" s="351"/>
      <c r="D20" s="123"/>
      <c r="E20" s="123"/>
      <c r="F20" s="123"/>
      <c r="G20" s="123"/>
      <c r="H20" s="123"/>
    </row>
    <row r="21" spans="1:14" ht="26.25" customHeight="1" x14ac:dyDescent="0.4">
      <c r="A21" s="121" t="s">
        <v>36</v>
      </c>
      <c r="B21" s="351" t="s">
        <v>11</v>
      </c>
      <c r="C21" s="351"/>
      <c r="D21" s="351"/>
      <c r="E21" s="351"/>
      <c r="F21" s="351"/>
      <c r="G21" s="351"/>
      <c r="H21" s="351"/>
      <c r="I21" s="125"/>
    </row>
    <row r="22" spans="1:14" ht="26.25" customHeight="1" x14ac:dyDescent="0.4">
      <c r="A22" s="121" t="s">
        <v>37</v>
      </c>
      <c r="B22" s="126" t="s">
        <v>12</v>
      </c>
      <c r="C22" s="123"/>
      <c r="D22" s="123"/>
      <c r="E22" s="123"/>
      <c r="F22" s="123"/>
      <c r="G22" s="123"/>
      <c r="H22" s="123"/>
    </row>
    <row r="23" spans="1:14" ht="26.25" customHeight="1" x14ac:dyDescent="0.4">
      <c r="A23" s="121" t="s">
        <v>38</v>
      </c>
      <c r="B23" s="126"/>
      <c r="C23" s="123"/>
      <c r="D23" s="123"/>
      <c r="E23" s="123"/>
      <c r="F23" s="123"/>
      <c r="G23" s="123"/>
      <c r="H23" s="123"/>
    </row>
    <row r="24" spans="1:14" ht="18.75" x14ac:dyDescent="0.3">
      <c r="A24" s="121"/>
      <c r="B24" s="127"/>
    </row>
    <row r="25" spans="1:14" ht="18.75" x14ac:dyDescent="0.3">
      <c r="A25" s="128" t="s">
        <v>1</v>
      </c>
      <c r="B25" s="127"/>
    </row>
    <row r="26" spans="1:14" ht="26.25" customHeight="1" x14ac:dyDescent="0.4">
      <c r="A26" s="129" t="s">
        <v>4</v>
      </c>
      <c r="B26" s="346" t="s">
        <v>9</v>
      </c>
      <c r="C26" s="346"/>
    </row>
    <row r="27" spans="1:14" ht="26.25" customHeight="1" x14ac:dyDescent="0.4">
      <c r="A27" s="130" t="s">
        <v>52</v>
      </c>
      <c r="B27" s="344" t="s">
        <v>128</v>
      </c>
      <c r="C27" s="344"/>
    </row>
    <row r="28" spans="1:14" ht="27" customHeight="1" x14ac:dyDescent="0.4">
      <c r="A28" s="130" t="s">
        <v>6</v>
      </c>
      <c r="B28" s="131">
        <v>99.7</v>
      </c>
    </row>
    <row r="29" spans="1:14" s="15" customFormat="1" ht="27" customHeight="1" x14ac:dyDescent="0.4">
      <c r="A29" s="130" t="s">
        <v>53</v>
      </c>
      <c r="B29" s="132">
        <v>0</v>
      </c>
      <c r="C29" s="321" t="s">
        <v>54</v>
      </c>
      <c r="D29" s="322"/>
      <c r="E29" s="322"/>
      <c r="F29" s="322"/>
      <c r="G29" s="323"/>
      <c r="I29" s="133"/>
      <c r="J29" s="133"/>
      <c r="K29" s="133"/>
      <c r="L29" s="133"/>
    </row>
    <row r="30" spans="1:14" s="15" customFormat="1" ht="19.5" customHeight="1" x14ac:dyDescent="0.3">
      <c r="A30" s="130" t="s">
        <v>55</v>
      </c>
      <c r="B30" s="134">
        <f>B28-B29</f>
        <v>99.7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5" customFormat="1" ht="27" customHeight="1" x14ac:dyDescent="0.4">
      <c r="A31" s="130" t="s">
        <v>56</v>
      </c>
      <c r="B31" s="137">
        <v>1</v>
      </c>
      <c r="C31" s="324" t="s">
        <v>57</v>
      </c>
      <c r="D31" s="325"/>
      <c r="E31" s="325"/>
      <c r="F31" s="325"/>
      <c r="G31" s="325"/>
      <c r="H31" s="326"/>
      <c r="I31" s="133"/>
      <c r="J31" s="133"/>
      <c r="K31" s="133"/>
      <c r="L31" s="133"/>
    </row>
    <row r="32" spans="1:14" s="15" customFormat="1" ht="27" customHeight="1" x14ac:dyDescent="0.4">
      <c r="A32" s="130" t="s">
        <v>58</v>
      </c>
      <c r="B32" s="137">
        <v>1</v>
      </c>
      <c r="C32" s="324" t="s">
        <v>59</v>
      </c>
      <c r="D32" s="325"/>
      <c r="E32" s="325"/>
      <c r="F32" s="325"/>
      <c r="G32" s="325"/>
      <c r="H32" s="326"/>
      <c r="I32" s="133"/>
      <c r="J32" s="133"/>
      <c r="K32" s="133"/>
      <c r="L32" s="138"/>
      <c r="M32" s="138"/>
      <c r="N32" s="139"/>
    </row>
    <row r="33" spans="1:14" s="15" customFormat="1" ht="17.25" customHeight="1" x14ac:dyDescent="0.3">
      <c r="A33" s="130"/>
      <c r="B33" s="140"/>
      <c r="C33" s="141"/>
      <c r="D33" s="141"/>
      <c r="E33" s="141"/>
      <c r="F33" s="141"/>
      <c r="G33" s="141"/>
      <c r="H33" s="141"/>
      <c r="I33" s="133"/>
      <c r="J33" s="133"/>
      <c r="K33" s="133"/>
      <c r="L33" s="138"/>
      <c r="M33" s="138"/>
      <c r="N33" s="139"/>
    </row>
    <row r="34" spans="1:14" s="15" customFormat="1" ht="18.75" x14ac:dyDescent="0.3">
      <c r="A34" s="130" t="s">
        <v>60</v>
      </c>
      <c r="B34" s="142">
        <f>B31/B32</f>
        <v>1</v>
      </c>
      <c r="C34" s="120" t="s">
        <v>61</v>
      </c>
      <c r="D34" s="120"/>
      <c r="E34" s="120"/>
      <c r="F34" s="120"/>
      <c r="G34" s="120"/>
      <c r="I34" s="133"/>
      <c r="J34" s="133"/>
      <c r="K34" s="133"/>
      <c r="L34" s="138"/>
      <c r="M34" s="138"/>
      <c r="N34" s="139"/>
    </row>
    <row r="35" spans="1:14" s="15" customFormat="1" ht="19.5" customHeight="1" x14ac:dyDescent="0.3">
      <c r="A35" s="130"/>
      <c r="B35" s="134"/>
      <c r="G35" s="120"/>
      <c r="I35" s="133"/>
      <c r="J35" s="133"/>
      <c r="K35" s="133"/>
      <c r="L35" s="138"/>
      <c r="M35" s="138"/>
      <c r="N35" s="139"/>
    </row>
    <row r="36" spans="1:14" s="15" customFormat="1" ht="27" customHeight="1" x14ac:dyDescent="0.4">
      <c r="A36" s="143" t="s">
        <v>62</v>
      </c>
      <c r="B36" s="144">
        <v>25</v>
      </c>
      <c r="C36" s="120"/>
      <c r="D36" s="327" t="s">
        <v>63</v>
      </c>
      <c r="E36" s="345"/>
      <c r="F36" s="327" t="s">
        <v>64</v>
      </c>
      <c r="G36" s="328"/>
      <c r="J36" s="133"/>
      <c r="K36" s="133"/>
      <c r="L36" s="138"/>
      <c r="M36" s="138"/>
      <c r="N36" s="139"/>
    </row>
    <row r="37" spans="1:14" s="15" customFormat="1" ht="27" customHeight="1" x14ac:dyDescent="0.4">
      <c r="A37" s="145" t="s">
        <v>65</v>
      </c>
      <c r="B37" s="146">
        <v>1</v>
      </c>
      <c r="C37" s="147" t="s">
        <v>66</v>
      </c>
      <c r="D37" s="148" t="s">
        <v>67</v>
      </c>
      <c r="E37" s="149" t="s">
        <v>68</v>
      </c>
      <c r="F37" s="148" t="s">
        <v>67</v>
      </c>
      <c r="G37" s="150" t="s">
        <v>68</v>
      </c>
      <c r="I37" s="151" t="s">
        <v>69</v>
      </c>
      <c r="J37" s="133"/>
      <c r="K37" s="133"/>
      <c r="L37" s="138"/>
      <c r="M37" s="138"/>
      <c r="N37" s="139"/>
    </row>
    <row r="38" spans="1:14" s="15" customFormat="1" ht="26.25" customHeight="1" x14ac:dyDescent="0.4">
      <c r="A38" s="145" t="s">
        <v>70</v>
      </c>
      <c r="B38" s="146">
        <v>1</v>
      </c>
      <c r="C38" s="152">
        <v>1</v>
      </c>
      <c r="D38" s="153">
        <v>8111365</v>
      </c>
      <c r="E38" s="154">
        <f>IF(ISBLANK(D38),"-",$D$48/$D$45*D38)</f>
        <v>8135772.316950853</v>
      </c>
      <c r="F38" s="153">
        <v>8390583</v>
      </c>
      <c r="G38" s="155">
        <f>IF(ISBLANK(F38),"-",$D$48/$F$45*F38)</f>
        <v>8167537.3558563879</v>
      </c>
      <c r="I38" s="156"/>
      <c r="J38" s="133"/>
      <c r="K38" s="133"/>
      <c r="L38" s="138"/>
      <c r="M38" s="138"/>
      <c r="N38" s="139"/>
    </row>
    <row r="39" spans="1:14" s="15" customFormat="1" ht="26.25" customHeight="1" x14ac:dyDescent="0.4">
      <c r="A39" s="145" t="s">
        <v>71</v>
      </c>
      <c r="B39" s="146">
        <v>1</v>
      </c>
      <c r="C39" s="157">
        <v>2</v>
      </c>
      <c r="D39" s="158">
        <v>8089696</v>
      </c>
      <c r="E39" s="159">
        <f>IF(ISBLANK(D39),"-",$D$48/$D$45*D39)</f>
        <v>8114038.1143430294</v>
      </c>
      <c r="F39" s="158">
        <v>8372377</v>
      </c>
      <c r="G39" s="160">
        <f>IF(ISBLANK(F39),"-",$D$48/$F$45*F39)</f>
        <v>8149815.3232990885</v>
      </c>
      <c r="I39" s="329">
        <f>ABS((F43/D43*D42)-F42)/D42</f>
        <v>4.7339347344732847E-3</v>
      </c>
      <c r="J39" s="133"/>
      <c r="K39" s="133"/>
      <c r="L39" s="138"/>
      <c r="M39" s="138"/>
      <c r="N39" s="139"/>
    </row>
    <row r="40" spans="1:14" ht="26.25" customHeight="1" x14ac:dyDescent="0.4">
      <c r="A40" s="145" t="s">
        <v>72</v>
      </c>
      <c r="B40" s="146">
        <v>1</v>
      </c>
      <c r="C40" s="157">
        <v>3</v>
      </c>
      <c r="D40" s="158">
        <v>8072366</v>
      </c>
      <c r="E40" s="159">
        <f>IF(ISBLANK(D40),"-",$D$48/$D$45*D40)</f>
        <v>8096655.9679037109</v>
      </c>
      <c r="F40" s="158">
        <v>8363288</v>
      </c>
      <c r="G40" s="160">
        <f>IF(ISBLANK(F40),"-",$D$48/$F$45*F40)</f>
        <v>8140967.9348604809</v>
      </c>
      <c r="I40" s="329"/>
      <c r="L40" s="138"/>
      <c r="M40" s="138"/>
      <c r="N40" s="161"/>
    </row>
    <row r="41" spans="1:14" ht="27" customHeight="1" x14ac:dyDescent="0.4">
      <c r="A41" s="145" t="s">
        <v>73</v>
      </c>
      <c r="B41" s="146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I41" s="166"/>
      <c r="L41" s="138"/>
      <c r="M41" s="138"/>
      <c r="N41" s="161"/>
    </row>
    <row r="42" spans="1:14" ht="27" customHeight="1" x14ac:dyDescent="0.4">
      <c r="A42" s="145" t="s">
        <v>74</v>
      </c>
      <c r="B42" s="146">
        <v>1</v>
      </c>
      <c r="C42" s="167" t="s">
        <v>75</v>
      </c>
      <c r="D42" s="168">
        <f>AVERAGE(D38:D41)</f>
        <v>8091142.333333333</v>
      </c>
      <c r="E42" s="169">
        <f>AVERAGE(E38:E41)</f>
        <v>8115488.7997325314</v>
      </c>
      <c r="F42" s="168">
        <f>AVERAGE(F38:F41)</f>
        <v>8375416</v>
      </c>
      <c r="G42" s="170">
        <f>AVERAGE(G38:G41)</f>
        <v>8152773.5380053194</v>
      </c>
      <c r="H42" s="171"/>
    </row>
    <row r="43" spans="1:14" ht="26.25" customHeight="1" x14ac:dyDescent="0.4">
      <c r="A43" s="145" t="s">
        <v>76</v>
      </c>
      <c r="B43" s="146">
        <v>1</v>
      </c>
      <c r="C43" s="172" t="s">
        <v>77</v>
      </c>
      <c r="D43" s="173">
        <v>25</v>
      </c>
      <c r="E43" s="161"/>
      <c r="F43" s="173">
        <v>25.76</v>
      </c>
      <c r="H43" s="171"/>
    </row>
    <row r="44" spans="1:14" ht="26.25" customHeight="1" x14ac:dyDescent="0.4">
      <c r="A44" s="145" t="s">
        <v>78</v>
      </c>
      <c r="B44" s="146">
        <v>1</v>
      </c>
      <c r="C44" s="174" t="s">
        <v>79</v>
      </c>
      <c r="D44" s="175">
        <f>D43*$B$34</f>
        <v>25</v>
      </c>
      <c r="E44" s="176"/>
      <c r="F44" s="175">
        <f>F43*$B$34</f>
        <v>25.76</v>
      </c>
      <c r="H44" s="171"/>
    </row>
    <row r="45" spans="1:14" ht="19.5" customHeight="1" x14ac:dyDescent="0.3">
      <c r="A45" s="145" t="s">
        <v>80</v>
      </c>
      <c r="B45" s="177">
        <f>(B44/B43)*(B42/B41)*(B40/B39)*(B38/B37)*B36</f>
        <v>25</v>
      </c>
      <c r="C45" s="174" t="s">
        <v>81</v>
      </c>
      <c r="D45" s="178">
        <f>D44*$B$30/100</f>
        <v>24.925000000000001</v>
      </c>
      <c r="E45" s="179"/>
      <c r="F45" s="178">
        <f>F44*$B$30/100</f>
        <v>25.682720000000003</v>
      </c>
      <c r="H45" s="171"/>
    </row>
    <row r="46" spans="1:14" ht="19.5" customHeight="1" x14ac:dyDescent="0.3">
      <c r="A46" s="315" t="s">
        <v>82</v>
      </c>
      <c r="B46" s="316"/>
      <c r="C46" s="174" t="s">
        <v>83</v>
      </c>
      <c r="D46" s="180">
        <f>D45/$B$45</f>
        <v>0.997</v>
      </c>
      <c r="E46" s="181"/>
      <c r="F46" s="182">
        <f>F45/$B$45</f>
        <v>1.0273088000000001</v>
      </c>
      <c r="H46" s="171"/>
    </row>
    <row r="47" spans="1:14" ht="27" customHeight="1" x14ac:dyDescent="0.4">
      <c r="A47" s="317"/>
      <c r="B47" s="318"/>
      <c r="C47" s="183" t="s">
        <v>84</v>
      </c>
      <c r="D47" s="184">
        <v>1</v>
      </c>
      <c r="E47" s="185"/>
      <c r="F47" s="181"/>
      <c r="H47" s="171"/>
    </row>
    <row r="48" spans="1:14" ht="18.75" x14ac:dyDescent="0.3">
      <c r="C48" s="186" t="s">
        <v>85</v>
      </c>
      <c r="D48" s="178">
        <f>D47*$B$45</f>
        <v>25</v>
      </c>
      <c r="F48" s="187"/>
      <c r="H48" s="171"/>
    </row>
    <row r="49" spans="1:12" ht="19.5" customHeight="1" x14ac:dyDescent="0.3">
      <c r="C49" s="188" t="s">
        <v>86</v>
      </c>
      <c r="D49" s="189">
        <f>D48/B34</f>
        <v>25</v>
      </c>
      <c r="F49" s="187"/>
      <c r="H49" s="171"/>
    </row>
    <row r="50" spans="1:12" ht="18.75" x14ac:dyDescent="0.3">
      <c r="C50" s="143" t="s">
        <v>87</v>
      </c>
      <c r="D50" s="190">
        <f>AVERAGE(E38:E41,G38:G41)</f>
        <v>8134131.1688689254</v>
      </c>
      <c r="F50" s="191"/>
      <c r="H50" s="171"/>
    </row>
    <row r="51" spans="1:12" ht="18.75" x14ac:dyDescent="0.3">
      <c r="C51" s="145" t="s">
        <v>88</v>
      </c>
      <c r="D51" s="192">
        <f>STDEV(E38:E41,G38:G41)/D50</f>
        <v>3.1196045472046269E-3</v>
      </c>
      <c r="F51" s="191"/>
      <c r="H51" s="171"/>
    </row>
    <row r="52" spans="1:12" ht="19.5" customHeight="1" x14ac:dyDescent="0.3">
      <c r="C52" s="193" t="s">
        <v>20</v>
      </c>
      <c r="D52" s="194">
        <f>COUNT(E38:E41,G38:G41)</f>
        <v>6</v>
      </c>
      <c r="F52" s="191"/>
    </row>
    <row r="54" spans="1:12" ht="18.75" x14ac:dyDescent="0.3">
      <c r="A54" s="195" t="s">
        <v>1</v>
      </c>
      <c r="B54" s="196" t="s">
        <v>89</v>
      </c>
    </row>
    <row r="55" spans="1:12" ht="18.75" x14ac:dyDescent="0.3">
      <c r="A55" s="120" t="s">
        <v>90</v>
      </c>
      <c r="B55" s="197" t="str">
        <f>B21</f>
        <v>Pregabalin 150mg</v>
      </c>
    </row>
    <row r="56" spans="1:12" ht="26.25" customHeight="1" x14ac:dyDescent="0.4">
      <c r="A56" s="198" t="s">
        <v>91</v>
      </c>
      <c r="B56" s="199">
        <v>150</v>
      </c>
      <c r="C56" s="120" t="str">
        <f>B20</f>
        <v>Pregabalin</v>
      </c>
      <c r="H56" s="200"/>
    </row>
    <row r="57" spans="1:12" ht="18.75" x14ac:dyDescent="0.3">
      <c r="A57" s="197" t="s">
        <v>92</v>
      </c>
      <c r="B57" s="292">
        <f>Uniformity!D43</f>
        <v>214.95899999999997</v>
      </c>
      <c r="H57" s="200"/>
    </row>
    <row r="58" spans="1:12" ht="19.5" customHeight="1" x14ac:dyDescent="0.3">
      <c r="H58" s="200"/>
    </row>
    <row r="59" spans="1:12" s="15" customFormat="1" ht="27" customHeight="1" x14ac:dyDescent="0.4">
      <c r="A59" s="143" t="s">
        <v>93</v>
      </c>
      <c r="B59" s="144">
        <v>50</v>
      </c>
      <c r="C59" s="120"/>
      <c r="D59" s="201" t="s">
        <v>94</v>
      </c>
      <c r="E59" s="202" t="s">
        <v>66</v>
      </c>
      <c r="F59" s="202" t="s">
        <v>67</v>
      </c>
      <c r="G59" s="202" t="s">
        <v>95</v>
      </c>
      <c r="H59" s="147" t="s">
        <v>96</v>
      </c>
      <c r="L59" s="133"/>
    </row>
    <row r="60" spans="1:12" s="15" customFormat="1" ht="26.25" customHeight="1" x14ac:dyDescent="0.4">
      <c r="A60" s="145" t="s">
        <v>97</v>
      </c>
      <c r="B60" s="146">
        <v>1</v>
      </c>
      <c r="C60" s="332" t="s">
        <v>98</v>
      </c>
      <c r="D60" s="335">
        <v>78.989999999999995</v>
      </c>
      <c r="E60" s="203">
        <v>1</v>
      </c>
      <c r="F60" s="204">
        <v>8820862</v>
      </c>
      <c r="G60" s="294">
        <f>IF(ISBLANK(F60),"-",(F60/$D$50*$D$47*$B$68)*($B$57/$D$60))</f>
        <v>147.55481293040049</v>
      </c>
      <c r="H60" s="205">
        <f>IF(ISBLANK(F60),"-",G60/$B$56)</f>
        <v>0.98369875286933661</v>
      </c>
      <c r="L60" s="133"/>
    </row>
    <row r="61" spans="1:12" s="15" customFormat="1" ht="26.25" customHeight="1" x14ac:dyDescent="0.4">
      <c r="A61" s="145" t="s">
        <v>99</v>
      </c>
      <c r="B61" s="146">
        <v>1</v>
      </c>
      <c r="C61" s="333"/>
      <c r="D61" s="336"/>
      <c r="E61" s="206">
        <v>2</v>
      </c>
      <c r="F61" s="158">
        <v>8839825</v>
      </c>
      <c r="G61" s="295">
        <f>IF(ISBLANK(F61),"-",(F61/$D$50*$D$47*$B$68)*($B$57/$D$60))</f>
        <v>147.87202477631749</v>
      </c>
      <c r="H61" s="207">
        <f t="shared" ref="H60:H71" si="0">IF(ISBLANK(F61),"-",G61/$B$56)</f>
        <v>0.9858134985087833</v>
      </c>
      <c r="L61" s="133"/>
    </row>
    <row r="62" spans="1:12" s="15" customFormat="1" ht="26.25" customHeight="1" x14ac:dyDescent="0.4">
      <c r="A62" s="145" t="s">
        <v>100</v>
      </c>
      <c r="B62" s="146">
        <v>1</v>
      </c>
      <c r="C62" s="333"/>
      <c r="D62" s="336"/>
      <c r="E62" s="206">
        <v>3</v>
      </c>
      <c r="F62" s="208">
        <v>8801158</v>
      </c>
      <c r="G62" s="295">
        <f>IF(ISBLANK(F62),"-",(F62/$D$50*$D$47*$B$68)*($B$57/$D$60))</f>
        <v>147.2252056840814</v>
      </c>
      <c r="H62" s="207">
        <f t="shared" si="0"/>
        <v>0.98150137122720937</v>
      </c>
      <c r="L62" s="133"/>
    </row>
    <row r="63" spans="1:12" ht="27" customHeight="1" x14ac:dyDescent="0.4">
      <c r="A63" s="145" t="s">
        <v>101</v>
      </c>
      <c r="B63" s="146">
        <v>1</v>
      </c>
      <c r="C63" s="343"/>
      <c r="D63" s="337"/>
      <c r="E63" s="209">
        <v>4</v>
      </c>
      <c r="F63" s="210"/>
      <c r="G63" s="295" t="str">
        <f>IF(ISBLANK(F63),"-",(F63/$D$50*$D$47*$B$68)*($B$57/$D$60))</f>
        <v>-</v>
      </c>
      <c r="H63" s="207" t="str">
        <f t="shared" si="0"/>
        <v>-</v>
      </c>
    </row>
    <row r="64" spans="1:12" ht="26.25" customHeight="1" x14ac:dyDescent="0.4">
      <c r="A64" s="145" t="s">
        <v>102</v>
      </c>
      <c r="B64" s="146">
        <v>1</v>
      </c>
      <c r="C64" s="332" t="s">
        <v>103</v>
      </c>
      <c r="D64" s="335">
        <v>76.91</v>
      </c>
      <c r="E64" s="203">
        <v>1</v>
      </c>
      <c r="F64" s="204">
        <v>8572348</v>
      </c>
      <c r="G64" s="296">
        <f>IF(ISBLANK(F64),"-",(F64/$D$50*$D$47*$B$68)*($B$57/$D$64))</f>
        <v>147.27581943260392</v>
      </c>
      <c r="H64" s="211">
        <f>IF(ISBLANK(F64),"-",G64/$B$56)</f>
        <v>0.98183879621735948</v>
      </c>
    </row>
    <row r="65" spans="1:8" ht="26.25" customHeight="1" x14ac:dyDescent="0.4">
      <c r="A65" s="145" t="s">
        <v>104</v>
      </c>
      <c r="B65" s="146">
        <v>1</v>
      </c>
      <c r="C65" s="333"/>
      <c r="D65" s="336"/>
      <c r="E65" s="206">
        <v>2</v>
      </c>
      <c r="F65" s="158">
        <v>8567092</v>
      </c>
      <c r="G65" s="297">
        <f>IF(ISBLANK(F65),"-",(F65/$D$50*$D$47*$B$68)*($B$57/$D$64))</f>
        <v>147.18551958629138</v>
      </c>
      <c r="H65" s="212">
        <f t="shared" si="0"/>
        <v>0.98123679724194257</v>
      </c>
    </row>
    <row r="66" spans="1:8" ht="26.25" customHeight="1" x14ac:dyDescent="0.4">
      <c r="A66" s="145" t="s">
        <v>105</v>
      </c>
      <c r="B66" s="146">
        <v>1</v>
      </c>
      <c r="C66" s="333"/>
      <c r="D66" s="336"/>
      <c r="E66" s="206">
        <v>3</v>
      </c>
      <c r="F66" s="158">
        <v>8589920</v>
      </c>
      <c r="G66" s="297">
        <f>IF(ISBLANK(F66),"-",(F66/$D$50*$D$47*$B$68)*($B$57/$D$64))</f>
        <v>147.57771229778737</v>
      </c>
      <c r="H66" s="212">
        <f t="shared" si="0"/>
        <v>0.98385141531858245</v>
      </c>
    </row>
    <row r="67" spans="1:8" ht="27" customHeight="1" x14ac:dyDescent="0.4">
      <c r="A67" s="145" t="s">
        <v>106</v>
      </c>
      <c r="B67" s="146">
        <v>1</v>
      </c>
      <c r="C67" s="343"/>
      <c r="D67" s="337"/>
      <c r="E67" s="209">
        <v>4</v>
      </c>
      <c r="F67" s="210"/>
      <c r="G67" s="298" t="str">
        <f>IF(ISBLANK(F67),"-",(F67/$D$50*$D$47*$B$68)*($B$57/$D$64))</f>
        <v>-</v>
      </c>
      <c r="H67" s="213" t="str">
        <f t="shared" si="0"/>
        <v>-</v>
      </c>
    </row>
    <row r="68" spans="1:8" ht="26.25" customHeight="1" x14ac:dyDescent="0.4">
      <c r="A68" s="145" t="s">
        <v>107</v>
      </c>
      <c r="B68" s="214">
        <f>(B67/B66)*(B65/B64)*(B63/B62)*(B61/B60)*B59</f>
        <v>50</v>
      </c>
      <c r="C68" s="332" t="s">
        <v>108</v>
      </c>
      <c r="D68" s="335">
        <v>78.239999999999995</v>
      </c>
      <c r="E68" s="203">
        <v>1</v>
      </c>
      <c r="F68" s="204">
        <v>8760499</v>
      </c>
      <c r="G68" s="296">
        <f>IF(ISBLANK(F68),"-",(F68/$D$50*$D$47*$B$68)*($B$57/$D$68))</f>
        <v>147.94982934962718</v>
      </c>
      <c r="H68" s="207">
        <f>IF(ISBLANK(F68),"-",G68/$B$56)</f>
        <v>0.98633219566418118</v>
      </c>
    </row>
    <row r="69" spans="1:8" ht="27" customHeight="1" x14ac:dyDescent="0.4">
      <c r="A69" s="193" t="s">
        <v>109</v>
      </c>
      <c r="B69" s="215">
        <f>(D47*B68)/B56*B57</f>
        <v>71.652999999999992</v>
      </c>
      <c r="C69" s="333"/>
      <c r="D69" s="336"/>
      <c r="E69" s="206">
        <v>2</v>
      </c>
      <c r="F69" s="158">
        <v>8754815</v>
      </c>
      <c r="G69" s="297">
        <f>IF(ISBLANK(F69),"-",(F69/$D$50*$D$47*$B$68)*($B$57/$D$68))</f>
        <v>147.8538363211452</v>
      </c>
      <c r="H69" s="207">
        <f t="shared" si="0"/>
        <v>0.98569224214096796</v>
      </c>
    </row>
    <row r="70" spans="1:8" ht="26.25" customHeight="1" x14ac:dyDescent="0.4">
      <c r="A70" s="338" t="s">
        <v>82</v>
      </c>
      <c r="B70" s="339"/>
      <c r="C70" s="333"/>
      <c r="D70" s="336"/>
      <c r="E70" s="206">
        <v>3</v>
      </c>
      <c r="F70" s="158">
        <v>8756773</v>
      </c>
      <c r="G70" s="297">
        <f>IF(ISBLANK(F70),"-",(F70/$D$50*$D$47*$B$68)*($B$57/$D$68))</f>
        <v>147.88690358887354</v>
      </c>
      <c r="H70" s="207">
        <f t="shared" si="0"/>
        <v>0.9859126905924902</v>
      </c>
    </row>
    <row r="71" spans="1:8" ht="27" customHeight="1" x14ac:dyDescent="0.4">
      <c r="A71" s="340"/>
      <c r="B71" s="341"/>
      <c r="C71" s="334"/>
      <c r="D71" s="337"/>
      <c r="E71" s="209">
        <v>4</v>
      </c>
      <c r="F71" s="210"/>
      <c r="G71" s="298" t="str">
        <f>IF(ISBLANK(F71),"-",(F71/$D$50*$D$47*$B$68)*($B$57/$D$68))</f>
        <v>-</v>
      </c>
      <c r="H71" s="216" t="str">
        <f t="shared" si="0"/>
        <v>-</v>
      </c>
    </row>
    <row r="72" spans="1:8" ht="26.25" customHeight="1" x14ac:dyDescent="0.4">
      <c r="A72" s="217"/>
      <c r="B72" s="217"/>
      <c r="C72" s="217"/>
      <c r="D72" s="217"/>
      <c r="E72" s="217"/>
      <c r="F72" s="218"/>
      <c r="G72" s="219" t="s">
        <v>75</v>
      </c>
      <c r="H72" s="220">
        <f>AVERAGE(H60:H71)</f>
        <v>0.9839864177534281</v>
      </c>
    </row>
    <row r="73" spans="1:8" ht="26.25" customHeight="1" x14ac:dyDescent="0.4">
      <c r="C73" s="217"/>
      <c r="D73" s="217"/>
      <c r="E73" s="217"/>
      <c r="F73" s="218"/>
      <c r="G73" s="221" t="s">
        <v>88</v>
      </c>
      <c r="H73" s="299">
        <f>STDEV(H60:H71)/H72</f>
        <v>2.0923400620969966E-3</v>
      </c>
    </row>
    <row r="74" spans="1:8" ht="27" customHeight="1" x14ac:dyDescent="0.4">
      <c r="A74" s="217"/>
      <c r="B74" s="217"/>
      <c r="C74" s="218"/>
      <c r="D74" s="218"/>
      <c r="E74" s="222"/>
      <c r="F74" s="218"/>
      <c r="G74" s="223" t="s">
        <v>20</v>
      </c>
      <c r="H74" s="224">
        <f>COUNT(H60:H71)</f>
        <v>9</v>
      </c>
    </row>
    <row r="76" spans="1:8" ht="26.25" customHeight="1" x14ac:dyDescent="0.4">
      <c r="A76" s="129" t="s">
        <v>110</v>
      </c>
      <c r="B76" s="225" t="s">
        <v>111</v>
      </c>
      <c r="C76" s="319" t="str">
        <f>B20</f>
        <v>Pregabalin</v>
      </c>
      <c r="D76" s="319"/>
      <c r="E76" s="226" t="s">
        <v>112</v>
      </c>
      <c r="F76" s="226"/>
      <c r="G76" s="227">
        <f>H72</f>
        <v>0.9839864177534281</v>
      </c>
      <c r="H76" s="228"/>
    </row>
    <row r="77" spans="1:8" ht="18.75" x14ac:dyDescent="0.3">
      <c r="A77" s="128" t="s">
        <v>113</v>
      </c>
      <c r="B77" s="128" t="s">
        <v>114</v>
      </c>
    </row>
    <row r="78" spans="1:8" ht="18.75" x14ac:dyDescent="0.3">
      <c r="A78" s="128"/>
      <c r="B78" s="128"/>
    </row>
    <row r="79" spans="1:8" ht="26.25" customHeight="1" x14ac:dyDescent="0.4">
      <c r="A79" s="129" t="s">
        <v>4</v>
      </c>
      <c r="B79" s="342" t="str">
        <f>B26</f>
        <v>Pregabalin</v>
      </c>
      <c r="C79" s="342"/>
    </row>
    <row r="80" spans="1:8" ht="26.25" customHeight="1" x14ac:dyDescent="0.4">
      <c r="A80" s="130" t="s">
        <v>52</v>
      </c>
      <c r="B80" s="342" t="str">
        <f>B27</f>
        <v>P3 2</v>
      </c>
      <c r="C80" s="342"/>
    </row>
    <row r="81" spans="1:12" ht="27" customHeight="1" x14ac:dyDescent="0.4">
      <c r="A81" s="130" t="s">
        <v>6</v>
      </c>
      <c r="B81" s="229">
        <f>B28</f>
        <v>99.7</v>
      </c>
    </row>
    <row r="82" spans="1:12" s="15" customFormat="1" ht="27" customHeight="1" x14ac:dyDescent="0.4">
      <c r="A82" s="130" t="s">
        <v>53</v>
      </c>
      <c r="B82" s="132">
        <v>0</v>
      </c>
      <c r="C82" s="321" t="s">
        <v>54</v>
      </c>
      <c r="D82" s="322"/>
      <c r="E82" s="322"/>
      <c r="F82" s="322"/>
      <c r="G82" s="323"/>
      <c r="I82" s="133"/>
      <c r="J82" s="133"/>
      <c r="K82" s="133"/>
      <c r="L82" s="133"/>
    </row>
    <row r="83" spans="1:12" s="15" customFormat="1" ht="19.5" customHeight="1" x14ac:dyDescent="0.3">
      <c r="A83" s="130" t="s">
        <v>55</v>
      </c>
      <c r="B83" s="134">
        <f>B81-B82</f>
        <v>99.7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5" customFormat="1" ht="27" customHeight="1" x14ac:dyDescent="0.4">
      <c r="A84" s="130" t="s">
        <v>56</v>
      </c>
      <c r="B84" s="137">
        <v>1</v>
      </c>
      <c r="C84" s="324" t="s">
        <v>115</v>
      </c>
      <c r="D84" s="325"/>
      <c r="E84" s="325"/>
      <c r="F84" s="325"/>
      <c r="G84" s="325"/>
      <c r="H84" s="326"/>
      <c r="I84" s="133"/>
      <c r="J84" s="133"/>
      <c r="K84" s="133"/>
      <c r="L84" s="133"/>
    </row>
    <row r="85" spans="1:12" s="15" customFormat="1" ht="27" customHeight="1" x14ac:dyDescent="0.4">
      <c r="A85" s="130" t="s">
        <v>58</v>
      </c>
      <c r="B85" s="137">
        <v>1</v>
      </c>
      <c r="C85" s="324" t="s">
        <v>116</v>
      </c>
      <c r="D85" s="325"/>
      <c r="E85" s="325"/>
      <c r="F85" s="325"/>
      <c r="G85" s="325"/>
      <c r="H85" s="326"/>
      <c r="I85" s="133"/>
      <c r="J85" s="133"/>
      <c r="K85" s="133"/>
      <c r="L85" s="133"/>
    </row>
    <row r="86" spans="1:12" s="15" customFormat="1" ht="18.75" x14ac:dyDescent="0.3">
      <c r="A86" s="130"/>
      <c r="B86" s="140"/>
      <c r="C86" s="141"/>
      <c r="D86" s="141"/>
      <c r="E86" s="141"/>
      <c r="F86" s="141"/>
      <c r="G86" s="141"/>
      <c r="H86" s="141"/>
      <c r="I86" s="133"/>
      <c r="J86" s="133"/>
      <c r="K86" s="133"/>
      <c r="L86" s="133"/>
    </row>
    <row r="87" spans="1:12" s="15" customFormat="1" ht="18.75" x14ac:dyDescent="0.3">
      <c r="A87" s="130" t="s">
        <v>60</v>
      </c>
      <c r="B87" s="142">
        <f>B84/B85</f>
        <v>1</v>
      </c>
      <c r="C87" s="120" t="s">
        <v>61</v>
      </c>
      <c r="D87" s="120"/>
      <c r="E87" s="120"/>
      <c r="F87" s="120"/>
      <c r="G87" s="120"/>
      <c r="I87" s="133"/>
      <c r="J87" s="133"/>
      <c r="K87" s="133"/>
      <c r="L87" s="133"/>
    </row>
    <row r="88" spans="1:12" ht="19.5" customHeight="1" x14ac:dyDescent="0.3">
      <c r="A88" s="128"/>
      <c r="B88" s="128"/>
    </row>
    <row r="89" spans="1:12" ht="27" customHeight="1" x14ac:dyDescent="0.4">
      <c r="A89" s="143" t="s">
        <v>62</v>
      </c>
      <c r="B89" s="144">
        <v>25</v>
      </c>
      <c r="D89" s="230" t="s">
        <v>63</v>
      </c>
      <c r="E89" s="231"/>
      <c r="F89" s="327" t="s">
        <v>64</v>
      </c>
      <c r="G89" s="328"/>
    </row>
    <row r="90" spans="1:12" ht="27" customHeight="1" x14ac:dyDescent="0.4">
      <c r="A90" s="145" t="s">
        <v>65</v>
      </c>
      <c r="B90" s="146">
        <v>4</v>
      </c>
      <c r="C90" s="232" t="s">
        <v>66</v>
      </c>
      <c r="D90" s="148" t="s">
        <v>67</v>
      </c>
      <c r="E90" s="149" t="s">
        <v>68</v>
      </c>
      <c r="F90" s="148" t="s">
        <v>67</v>
      </c>
      <c r="G90" s="233" t="s">
        <v>68</v>
      </c>
      <c r="I90" s="151" t="s">
        <v>69</v>
      </c>
    </row>
    <row r="91" spans="1:12" ht="26.25" customHeight="1" x14ac:dyDescent="0.4">
      <c r="A91" s="145" t="s">
        <v>70</v>
      </c>
      <c r="B91" s="146">
        <v>50</v>
      </c>
      <c r="C91" s="234">
        <v>1</v>
      </c>
      <c r="D91" s="153">
        <v>622780</v>
      </c>
      <c r="E91" s="154">
        <f>IF(ISBLANK(D91),"-",$D$101/$D$98*D91)</f>
        <v>780817.45235707122</v>
      </c>
      <c r="F91" s="153">
        <v>646053</v>
      </c>
      <c r="G91" s="155">
        <f>IF(ISBLANK(F91),"-",$D$101/$F$98*F91)</f>
        <v>786098.83415775269</v>
      </c>
      <c r="I91" s="156"/>
    </row>
    <row r="92" spans="1:12" ht="26.25" customHeight="1" x14ac:dyDescent="0.4">
      <c r="A92" s="145" t="s">
        <v>71</v>
      </c>
      <c r="B92" s="146">
        <v>1</v>
      </c>
      <c r="C92" s="218">
        <v>2</v>
      </c>
      <c r="D92" s="158">
        <v>626757</v>
      </c>
      <c r="E92" s="159">
        <f>IF(ISBLANK(D92),"-",$D$101/$D$98*D92)</f>
        <v>785803.66098294884</v>
      </c>
      <c r="F92" s="158">
        <v>653751</v>
      </c>
      <c r="G92" s="160">
        <f>IF(ISBLANK(F92),"-",$D$101/$F$98*F92)</f>
        <v>795465.54064367013</v>
      </c>
      <c r="I92" s="329">
        <f>ABS((F96/D96*D95)-F95)/D95</f>
        <v>8.4827499900150417E-3</v>
      </c>
    </row>
    <row r="93" spans="1:12" ht="26.25" customHeight="1" x14ac:dyDescent="0.4">
      <c r="A93" s="145" t="s">
        <v>72</v>
      </c>
      <c r="B93" s="146">
        <v>1</v>
      </c>
      <c r="C93" s="218">
        <v>3</v>
      </c>
      <c r="D93" s="158">
        <v>628288</v>
      </c>
      <c r="E93" s="159">
        <f>IF(ISBLANK(D93),"-",$D$101/$D$98*D93)</f>
        <v>787723.16950852552</v>
      </c>
      <c r="F93" s="158">
        <v>651036</v>
      </c>
      <c r="G93" s="160">
        <f>IF(ISBLANK(F93),"-",$D$101/$F$98*F93)</f>
        <v>792162.00620495027</v>
      </c>
      <c r="I93" s="329"/>
    </row>
    <row r="94" spans="1:12" ht="27" customHeight="1" x14ac:dyDescent="0.4">
      <c r="A94" s="145" t="s">
        <v>73</v>
      </c>
      <c r="B94" s="146">
        <v>1</v>
      </c>
      <c r="C94" s="235">
        <v>4</v>
      </c>
      <c r="D94" s="163"/>
      <c r="E94" s="164"/>
      <c r="F94" s="236"/>
      <c r="G94" s="165"/>
      <c r="I94" s="166"/>
    </row>
    <row r="95" spans="1:12" ht="27" customHeight="1" x14ac:dyDescent="0.4">
      <c r="A95" s="145" t="s">
        <v>74</v>
      </c>
      <c r="B95" s="146">
        <v>1</v>
      </c>
      <c r="C95" s="237" t="s">
        <v>75</v>
      </c>
      <c r="D95" s="238">
        <f>AVERAGE(D91:D94)</f>
        <v>625941.66666666663</v>
      </c>
      <c r="E95" s="169">
        <f>AVERAGE(E91:E94)</f>
        <v>784781.4276161819</v>
      </c>
      <c r="F95" s="239">
        <f>AVERAGE(F91:F94)</f>
        <v>650280</v>
      </c>
      <c r="G95" s="240">
        <f>AVERAGE(G91:G94)</f>
        <v>791242.12700212433</v>
      </c>
    </row>
    <row r="96" spans="1:12" ht="26.25" customHeight="1" x14ac:dyDescent="0.4">
      <c r="A96" s="145" t="s">
        <v>76</v>
      </c>
      <c r="B96" s="131">
        <v>1</v>
      </c>
      <c r="C96" s="241" t="s">
        <v>117</v>
      </c>
      <c r="D96" s="242">
        <v>25</v>
      </c>
      <c r="E96" s="161"/>
      <c r="F96" s="173">
        <v>25.76</v>
      </c>
    </row>
    <row r="97" spans="1:10" ht="26.25" customHeight="1" x14ac:dyDescent="0.4">
      <c r="A97" s="145" t="s">
        <v>78</v>
      </c>
      <c r="B97" s="131">
        <v>1</v>
      </c>
      <c r="C97" s="243" t="s">
        <v>118</v>
      </c>
      <c r="D97" s="244">
        <f>D96*$B$87</f>
        <v>25</v>
      </c>
      <c r="E97" s="176"/>
      <c r="F97" s="175">
        <f>F96*$B$87</f>
        <v>25.76</v>
      </c>
    </row>
    <row r="98" spans="1:10" ht="19.5" customHeight="1" x14ac:dyDescent="0.3">
      <c r="A98" s="145" t="s">
        <v>80</v>
      </c>
      <c r="B98" s="245">
        <f>(B97/B96)*(B95/B94)*(B93/B92)*(B91/B90)*B89</f>
        <v>312.5</v>
      </c>
      <c r="C98" s="243" t="s">
        <v>119</v>
      </c>
      <c r="D98" s="246">
        <f>D97*$B$83/100</f>
        <v>24.925000000000001</v>
      </c>
      <c r="E98" s="179"/>
      <c r="F98" s="178">
        <f>F97*$B$83/100</f>
        <v>25.682720000000003</v>
      </c>
    </row>
    <row r="99" spans="1:10" ht="19.5" customHeight="1" x14ac:dyDescent="0.3">
      <c r="A99" s="315" t="s">
        <v>82</v>
      </c>
      <c r="B99" s="330"/>
      <c r="C99" s="243" t="s">
        <v>120</v>
      </c>
      <c r="D99" s="247">
        <f>D98/$B$98</f>
        <v>7.9759999999999998E-2</v>
      </c>
      <c r="E99" s="179"/>
      <c r="F99" s="182">
        <f>F98/$B$98</f>
        <v>8.2184704000000011E-2</v>
      </c>
      <c r="G99" s="248"/>
      <c r="H99" s="171"/>
    </row>
    <row r="100" spans="1:10" ht="19.5" customHeight="1" x14ac:dyDescent="0.3">
      <c r="A100" s="317"/>
      <c r="B100" s="331"/>
      <c r="C100" s="243" t="s">
        <v>84</v>
      </c>
      <c r="D100" s="249">
        <f>$B$56/$B$116</f>
        <v>0.1</v>
      </c>
      <c r="F100" s="187"/>
      <c r="G100" s="250"/>
      <c r="H100" s="171"/>
    </row>
    <row r="101" spans="1:10" ht="18.75" x14ac:dyDescent="0.3">
      <c r="C101" s="243" t="s">
        <v>85</v>
      </c>
      <c r="D101" s="244">
        <f>D100*$B$98</f>
        <v>31.25</v>
      </c>
      <c r="F101" s="187"/>
      <c r="G101" s="248"/>
      <c r="H101" s="171"/>
    </row>
    <row r="102" spans="1:10" ht="19.5" customHeight="1" x14ac:dyDescent="0.3">
      <c r="C102" s="251" t="s">
        <v>86</v>
      </c>
      <c r="D102" s="252">
        <f>D101/B34</f>
        <v>31.25</v>
      </c>
      <c r="F102" s="191"/>
      <c r="G102" s="248"/>
      <c r="H102" s="171"/>
      <c r="J102" s="253"/>
    </row>
    <row r="103" spans="1:10" ht="18.75" x14ac:dyDescent="0.3">
      <c r="C103" s="254" t="s">
        <v>121</v>
      </c>
      <c r="D103" s="255">
        <f>AVERAGE(E91:E94,G91:G94)</f>
        <v>788011.77730915323</v>
      </c>
      <c r="F103" s="191"/>
      <c r="G103" s="256"/>
      <c r="H103" s="171"/>
      <c r="J103" s="257"/>
    </row>
    <row r="104" spans="1:10" ht="18.75" x14ac:dyDescent="0.3">
      <c r="C104" s="221" t="s">
        <v>88</v>
      </c>
      <c r="D104" s="258">
        <f>STDEV(E91:E94,G91:G94)/D103</f>
        <v>6.5489056094399124E-3</v>
      </c>
      <c r="F104" s="191"/>
      <c r="G104" s="248"/>
      <c r="H104" s="171"/>
      <c r="J104" s="257"/>
    </row>
    <row r="105" spans="1:10" ht="19.5" customHeight="1" x14ac:dyDescent="0.3">
      <c r="C105" s="223" t="s">
        <v>20</v>
      </c>
      <c r="D105" s="259">
        <f>COUNT(E91:E94,G91:G94)</f>
        <v>6</v>
      </c>
      <c r="F105" s="191"/>
      <c r="G105" s="248"/>
      <c r="H105" s="171"/>
      <c r="J105" s="257"/>
    </row>
    <row r="106" spans="1:10" ht="19.5" customHeight="1" x14ac:dyDescent="0.3">
      <c r="A106" s="195"/>
      <c r="B106" s="195"/>
      <c r="C106" s="195"/>
      <c r="D106" s="195"/>
      <c r="E106" s="195"/>
    </row>
    <row r="107" spans="1:10" ht="26.25" customHeight="1" x14ac:dyDescent="0.4">
      <c r="A107" s="143" t="s">
        <v>122</v>
      </c>
      <c r="B107" s="144">
        <v>900</v>
      </c>
      <c r="C107" s="260" t="s">
        <v>41</v>
      </c>
      <c r="D107" s="261" t="s">
        <v>67</v>
      </c>
      <c r="E107" s="262" t="s">
        <v>123</v>
      </c>
      <c r="F107" s="263" t="s">
        <v>124</v>
      </c>
    </row>
    <row r="108" spans="1:10" ht="26.25" customHeight="1" x14ac:dyDescent="0.4">
      <c r="A108" s="145" t="s">
        <v>125</v>
      </c>
      <c r="B108" s="146">
        <v>15</v>
      </c>
      <c r="C108" s="264">
        <v>1</v>
      </c>
      <c r="D108" s="265">
        <v>678432</v>
      </c>
      <c r="E108" s="300">
        <f>IF(ISBLANK(D108),"-",D108/$D$103*$D$100*$B$116)</f>
        <v>129.14121708624614</v>
      </c>
      <c r="F108" s="266">
        <f>IF(ISBLANK(D108), "-", E108/$B$56)</f>
        <v>0.86094144724164101</v>
      </c>
    </row>
    <row r="109" spans="1:10" ht="26.25" customHeight="1" x14ac:dyDescent="0.4">
      <c r="A109" s="145" t="s">
        <v>99</v>
      </c>
      <c r="B109" s="146">
        <v>25</v>
      </c>
      <c r="C109" s="264">
        <v>2</v>
      </c>
      <c r="D109" s="265">
        <v>680054</v>
      </c>
      <c r="E109" s="301">
        <f t="shared" ref="E109:E113" si="1">IF(ISBLANK(D109),"-",D109/$D$103*$D$100*$B$116)</f>
        <v>129.44996881687484</v>
      </c>
      <c r="F109" s="267">
        <f t="shared" ref="F108:F113" si="2">IF(ISBLANK(D109), "-", E109/$B$56)</f>
        <v>0.862999792112499</v>
      </c>
    </row>
    <row r="110" spans="1:10" ht="26.25" customHeight="1" x14ac:dyDescent="0.4">
      <c r="A110" s="145" t="s">
        <v>100</v>
      </c>
      <c r="B110" s="146">
        <v>1</v>
      </c>
      <c r="C110" s="264">
        <v>3</v>
      </c>
      <c r="D110" s="265">
        <v>678675</v>
      </c>
      <c r="E110" s="301">
        <f>IF(ISBLANK(D110),"-",D110/$D$103*$D$100*$B$116)</f>
        <v>129.18747274009496</v>
      </c>
      <c r="F110" s="267">
        <f>IF(ISBLANK(D110), "-", E110/$B$56)</f>
        <v>0.86124981826729974</v>
      </c>
    </row>
    <row r="111" spans="1:10" ht="26.25" customHeight="1" x14ac:dyDescent="0.4">
      <c r="A111" s="145" t="s">
        <v>101</v>
      </c>
      <c r="B111" s="146">
        <v>1</v>
      </c>
      <c r="C111" s="264">
        <v>4</v>
      </c>
      <c r="D111" s="265">
        <v>677906</v>
      </c>
      <c r="E111" s="301">
        <f t="shared" si="1"/>
        <v>129.04109167914953</v>
      </c>
      <c r="F111" s="267">
        <f t="shared" si="2"/>
        <v>0.86027394452766359</v>
      </c>
    </row>
    <row r="112" spans="1:10" ht="26.25" customHeight="1" x14ac:dyDescent="0.4">
      <c r="A112" s="145" t="s">
        <v>102</v>
      </c>
      <c r="B112" s="146">
        <v>1</v>
      </c>
      <c r="C112" s="264">
        <v>5</v>
      </c>
      <c r="D112" s="265">
        <v>684400</v>
      </c>
      <c r="E112" s="301">
        <f t="shared" si="1"/>
        <v>130.27724071657417</v>
      </c>
      <c r="F112" s="267">
        <f>IF(ISBLANK(D112), "-", E112/$B$56)</f>
        <v>0.86851493811049452</v>
      </c>
    </row>
    <row r="113" spans="1:10" ht="26.25" customHeight="1" x14ac:dyDescent="0.4">
      <c r="A113" s="145" t="s">
        <v>104</v>
      </c>
      <c r="B113" s="146">
        <v>1</v>
      </c>
      <c r="C113" s="268">
        <v>6</v>
      </c>
      <c r="D113" s="269">
        <v>681243</v>
      </c>
      <c r="E113" s="302">
        <f t="shared" si="1"/>
        <v>129.67629792150956</v>
      </c>
      <c r="F113" s="270">
        <f t="shared" si="2"/>
        <v>0.86450865281006373</v>
      </c>
    </row>
    <row r="114" spans="1:10" ht="26.25" customHeight="1" x14ac:dyDescent="0.4">
      <c r="A114" s="145" t="s">
        <v>105</v>
      </c>
      <c r="B114" s="146">
        <v>1</v>
      </c>
      <c r="C114" s="264"/>
      <c r="D114" s="218"/>
      <c r="E114" s="119"/>
      <c r="F114" s="271"/>
    </row>
    <row r="115" spans="1:10" ht="26.25" customHeight="1" x14ac:dyDescent="0.4">
      <c r="A115" s="145" t="s">
        <v>106</v>
      </c>
      <c r="B115" s="146">
        <v>1</v>
      </c>
      <c r="C115" s="264"/>
      <c r="D115" s="272"/>
      <c r="E115" s="273" t="s">
        <v>75</v>
      </c>
      <c r="F115" s="274">
        <f>AVERAGE(F108:F113)</f>
        <v>0.86308143217827693</v>
      </c>
    </row>
    <row r="116" spans="1:10" ht="27" customHeight="1" x14ac:dyDescent="0.4">
      <c r="A116" s="145" t="s">
        <v>107</v>
      </c>
      <c r="B116" s="177">
        <f>(B115/B114)*(B113/B112)*(B111/B110)*(B109/B108)*B107</f>
        <v>1500</v>
      </c>
      <c r="C116" s="275"/>
      <c r="D116" s="276"/>
      <c r="E116" s="237" t="s">
        <v>88</v>
      </c>
      <c r="F116" s="277">
        <f>STDEV(F108:F113)/F115</f>
        <v>3.5667628769722477E-3</v>
      </c>
      <c r="I116" s="119"/>
    </row>
    <row r="117" spans="1:10" ht="27" customHeight="1" x14ac:dyDescent="0.4">
      <c r="A117" s="315" t="s">
        <v>82</v>
      </c>
      <c r="B117" s="316"/>
      <c r="C117" s="278"/>
      <c r="D117" s="279"/>
      <c r="E117" s="280" t="s">
        <v>20</v>
      </c>
      <c r="F117" s="281">
        <f>COUNT(F108:F113)</f>
        <v>6</v>
      </c>
      <c r="I117" s="119"/>
      <c r="J117" s="257"/>
    </row>
    <row r="118" spans="1:10" ht="19.5" customHeight="1" x14ac:dyDescent="0.3">
      <c r="A118" s="317"/>
      <c r="B118" s="318"/>
      <c r="C118" s="119"/>
      <c r="D118" s="119"/>
      <c r="E118" s="119"/>
      <c r="F118" s="218"/>
      <c r="G118" s="119"/>
      <c r="H118" s="119"/>
      <c r="I118" s="119"/>
    </row>
    <row r="119" spans="1:10" ht="18.75" x14ac:dyDescent="0.3">
      <c r="A119" s="290"/>
      <c r="B119" s="141"/>
      <c r="C119" s="119"/>
      <c r="D119" s="119"/>
      <c r="E119" s="119"/>
      <c r="F119" s="218"/>
      <c r="G119" s="119"/>
      <c r="H119" s="119"/>
      <c r="I119" s="119"/>
    </row>
    <row r="120" spans="1:10" ht="26.25" customHeight="1" x14ac:dyDescent="0.4">
      <c r="A120" s="129" t="s">
        <v>110</v>
      </c>
      <c r="B120" s="225" t="s">
        <v>126</v>
      </c>
      <c r="C120" s="319" t="str">
        <f>B20</f>
        <v>Pregabalin</v>
      </c>
      <c r="D120" s="319"/>
      <c r="E120" s="226" t="s">
        <v>127</v>
      </c>
      <c r="F120" s="226"/>
      <c r="G120" s="227">
        <f>F115</f>
        <v>0.86308143217827693</v>
      </c>
      <c r="H120" s="119"/>
      <c r="I120" s="119"/>
    </row>
    <row r="121" spans="1:10" ht="19.5" customHeight="1" x14ac:dyDescent="0.3">
      <c r="A121" s="282"/>
      <c r="B121" s="282"/>
      <c r="C121" s="283"/>
      <c r="D121" s="283"/>
      <c r="E121" s="283"/>
      <c r="F121" s="283"/>
      <c r="G121" s="283"/>
      <c r="H121" s="283"/>
    </row>
    <row r="122" spans="1:10" ht="18.75" x14ac:dyDescent="0.3">
      <c r="B122" s="320" t="s">
        <v>26</v>
      </c>
      <c r="C122" s="320"/>
      <c r="E122" s="232" t="s">
        <v>27</v>
      </c>
      <c r="F122" s="284"/>
      <c r="G122" s="320" t="s">
        <v>28</v>
      </c>
      <c r="H122" s="320"/>
    </row>
    <row r="123" spans="1:10" ht="69.95" customHeight="1" x14ac:dyDescent="0.3">
      <c r="A123" s="285" t="s">
        <v>29</v>
      </c>
      <c r="B123" s="286" t="s">
        <v>129</v>
      </c>
      <c r="C123" s="286"/>
      <c r="E123" s="303">
        <v>42188</v>
      </c>
      <c r="F123" s="119"/>
      <c r="G123" s="287"/>
      <c r="H123" s="287"/>
    </row>
    <row r="124" spans="1:10" ht="69.95" customHeight="1" x14ac:dyDescent="0.3">
      <c r="A124" s="285" t="s">
        <v>30</v>
      </c>
      <c r="B124" s="288"/>
      <c r="C124" s="288"/>
      <c r="E124" s="288"/>
      <c r="F124" s="119"/>
      <c r="G124" s="289"/>
      <c r="H124" s="289"/>
    </row>
    <row r="125" spans="1:10" ht="18.75" x14ac:dyDescent="0.3">
      <c r="A125" s="217"/>
      <c r="B125" s="217"/>
      <c r="C125" s="218"/>
      <c r="D125" s="218"/>
      <c r="E125" s="218"/>
      <c r="F125" s="222"/>
      <c r="G125" s="218"/>
      <c r="H125" s="218"/>
      <c r="I125" s="119"/>
    </row>
    <row r="126" spans="1:10" ht="18.75" x14ac:dyDescent="0.3">
      <c r="A126" s="217"/>
      <c r="B126" s="217"/>
      <c r="C126" s="218"/>
      <c r="D126" s="218"/>
      <c r="E126" s="218"/>
      <c r="F126" s="222"/>
      <c r="G126" s="218"/>
      <c r="H126" s="218"/>
      <c r="I126" s="119"/>
    </row>
    <row r="127" spans="1:10" ht="18.75" x14ac:dyDescent="0.3">
      <c r="A127" s="217"/>
      <c r="B127" s="217"/>
      <c r="C127" s="218"/>
      <c r="D127" s="218"/>
      <c r="E127" s="218"/>
      <c r="F127" s="222"/>
      <c r="G127" s="218"/>
      <c r="H127" s="218"/>
      <c r="I127" s="119"/>
    </row>
    <row r="128" spans="1:10" ht="18.75" x14ac:dyDescent="0.3">
      <c r="A128" s="217"/>
      <c r="B128" s="217"/>
      <c r="C128" s="218"/>
      <c r="D128" s="218"/>
      <c r="E128" s="218"/>
      <c r="F128" s="222"/>
      <c r="G128" s="218"/>
      <c r="H128" s="218"/>
      <c r="I128" s="119"/>
    </row>
    <row r="129" spans="1:9" ht="18.75" x14ac:dyDescent="0.3">
      <c r="A129" s="217"/>
      <c r="B129" s="217"/>
      <c r="C129" s="218"/>
      <c r="D129" s="218"/>
      <c r="E129" s="218"/>
      <c r="F129" s="222"/>
      <c r="G129" s="218"/>
      <c r="H129" s="218"/>
      <c r="I129" s="119"/>
    </row>
    <row r="130" spans="1:9" ht="18.75" x14ac:dyDescent="0.3">
      <c r="A130" s="217"/>
      <c r="B130" s="217"/>
      <c r="C130" s="218"/>
      <c r="D130" s="218"/>
      <c r="E130" s="218"/>
      <c r="F130" s="222"/>
      <c r="G130" s="218"/>
      <c r="H130" s="218"/>
      <c r="I130" s="119"/>
    </row>
    <row r="131" spans="1:9" ht="18.75" x14ac:dyDescent="0.3">
      <c r="A131" s="217"/>
      <c r="B131" s="217"/>
      <c r="C131" s="218"/>
      <c r="D131" s="218"/>
      <c r="E131" s="218"/>
      <c r="F131" s="222"/>
      <c r="G131" s="218"/>
      <c r="H131" s="218"/>
      <c r="I131" s="119"/>
    </row>
    <row r="132" spans="1:9" ht="18.75" x14ac:dyDescent="0.3">
      <c r="A132" s="217"/>
      <c r="B132" s="217"/>
      <c r="C132" s="218"/>
      <c r="D132" s="218"/>
      <c r="E132" s="218"/>
      <c r="F132" s="222"/>
      <c r="G132" s="218"/>
      <c r="H132" s="218"/>
      <c r="I132" s="119"/>
    </row>
    <row r="133" spans="1:9" ht="18.75" x14ac:dyDescent="0.3">
      <c r="A133" s="217"/>
      <c r="B133" s="217"/>
      <c r="C133" s="218"/>
      <c r="D133" s="218"/>
      <c r="E133" s="218"/>
      <c r="F133" s="222"/>
      <c r="G133" s="218"/>
      <c r="H133" s="218"/>
      <c r="I133" s="119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1:N26"/>
  <sheetViews>
    <sheetView workbookViewId="0">
      <selection activeCell="I26" sqref="I26"/>
    </sheetView>
  </sheetViews>
  <sheetFormatPr defaultRowHeight="12.75" x14ac:dyDescent="0.2"/>
  <sheetData>
    <row r="21" spans="9:14" x14ac:dyDescent="0.2">
      <c r="N21">
        <f>25/25*4/5</f>
        <v>0.8</v>
      </c>
    </row>
    <row r="26" spans="9:14" x14ac:dyDescent="0.2">
      <c r="I26">
        <f>150/900</f>
        <v>0.16666666666666666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Pregabalin</vt:lpstr>
      <vt:lpstr>Sheet1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2015-07-06T09:43:08Z</cp:lastPrinted>
  <dcterms:created xsi:type="dcterms:W3CDTF">2005-07-05T10:19:27Z</dcterms:created>
  <dcterms:modified xsi:type="dcterms:W3CDTF">2015-07-06T10:59:04Z</dcterms:modified>
</cp:coreProperties>
</file>