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640" windowHeight="11448" activeTab="2"/>
  </bookViews>
  <sheets>
    <sheet name="SST" sheetId="1" r:id="rId1"/>
    <sheet name="Uniformity" sheetId="2" r:id="rId2"/>
    <sheet name="Omeprazole" sheetId="3" r:id="rId3"/>
  </sheets>
  <definedNames>
    <definedName name="_xlnm.Print_Area" localSheetId="2">Omeprazole!$A$1:$H$79</definedName>
  </definedNames>
  <calcPr calcId="145621"/>
</workbook>
</file>

<file path=xl/calcChain.xml><?xml version="1.0" encoding="utf-8"?>
<calcChain xmlns="http://schemas.openxmlformats.org/spreadsheetml/2006/main">
  <c r="H72" i="3" l="1"/>
  <c r="H60" i="3"/>
  <c r="G60" i="3"/>
  <c r="B69" i="3"/>
  <c r="B68" i="3"/>
  <c r="D52" i="3"/>
  <c r="D51" i="3"/>
  <c r="D50" i="3"/>
  <c r="G40" i="3"/>
  <c r="G39" i="3"/>
  <c r="G38" i="3"/>
  <c r="E40" i="3"/>
  <c r="E39" i="3"/>
  <c r="E38" i="3"/>
  <c r="F46" i="3"/>
  <c r="F45" i="3"/>
  <c r="D46" i="3"/>
  <c r="D45" i="3"/>
  <c r="D42" i="3"/>
  <c r="F42" i="3"/>
  <c r="E21" i="2"/>
  <c r="D43" i="2"/>
  <c r="D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B30" i="3" l="1"/>
  <c r="C56" i="3" l="1"/>
  <c r="C43" i="2"/>
  <c r="C42" i="2"/>
  <c r="B43" i="2"/>
  <c r="B42" i="2"/>
  <c r="B45" i="3" l="1"/>
  <c r="C76" i="3" l="1"/>
  <c r="H71" i="3"/>
  <c r="G71" i="3"/>
  <c r="H67" i="3"/>
  <c r="G67" i="3"/>
  <c r="H63" i="3"/>
  <c r="G63" i="3"/>
  <c r="B55" i="3"/>
  <c r="D48" i="3"/>
  <c r="G41" i="3"/>
  <c r="E41" i="3"/>
  <c r="B34" i="3"/>
  <c r="D44" i="3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E24" i="2" l="1"/>
  <c r="E23" i="2"/>
  <c r="E22" i="2"/>
  <c r="E40" i="2"/>
  <c r="D49" i="3"/>
  <c r="F44" i="3"/>
  <c r="E27" i="2" l="1"/>
  <c r="E31" i="2"/>
  <c r="E25" i="2"/>
  <c r="E38" i="2"/>
  <c r="E34" i="2"/>
  <c r="E26" i="2"/>
  <c r="D48" i="2"/>
  <c r="E30" i="2"/>
  <c r="E29" i="2"/>
  <c r="E32" i="2"/>
  <c r="C47" i="2"/>
  <c r="E39" i="2"/>
  <c r="E33" i="2"/>
  <c r="B47" i="2"/>
  <c r="E28" i="2"/>
  <c r="C48" i="2"/>
  <c r="E36" i="2"/>
  <c r="E35" i="2"/>
  <c r="E37" i="2"/>
  <c r="D47" i="2"/>
  <c r="E42" i="3" l="1"/>
  <c r="G42" i="3"/>
  <c r="G68" i="3" l="1"/>
  <c r="H68" i="3" s="1"/>
  <c r="G70" i="3"/>
  <c r="H70" i="3" s="1"/>
  <c r="G66" i="3"/>
  <c r="H66" i="3" s="1"/>
  <c r="G64" i="3"/>
  <c r="H64" i="3" s="1"/>
  <c r="G69" i="3"/>
  <c r="H69" i="3" s="1"/>
  <c r="G61" i="3"/>
  <c r="H61" i="3" s="1"/>
  <c r="G65" i="3"/>
  <c r="H65" i="3" s="1"/>
  <c r="G62" i="3"/>
  <c r="H62" i="3" s="1"/>
  <c r="H74" i="3" l="1"/>
  <c r="H73" i="3" l="1"/>
  <c r="G76" i="3"/>
</calcChain>
</file>

<file path=xl/sharedStrings.xml><?xml version="1.0" encoding="utf-8"?>
<sst xmlns="http://schemas.openxmlformats.org/spreadsheetml/2006/main" count="169" uniqueCount="115">
  <si>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</si>
  <si>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</si>
  <si>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</si>
  <si>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</si>
  <si>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</si>
  <si>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</si>
  <si>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</si>
  <si>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</si>
  <si>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</si>
  <si>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</si>
  <si>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</si>
  <si>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</si>
  <si>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</si>
  <si>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</si>
  <si>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</si>
  <si>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</si>
  <si>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</si>
  <si>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</si>
  <si>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</si>
  <si>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</si>
  <si>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</si>
  <si>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</si>
  <si>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</si>
  <si>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</si>
  <si>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</si>
  <si>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</si>
  <si>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</si>
  <si>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</si>
  <si>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</si>
  <si>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</si>
  <si>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</si>
  <si>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</si>
  <si>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</si>
  <si>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</si>
  <si>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</si>
  <si>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</si>
  <si>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</si>
  <si>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</si>
  <si>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</si>
  <si>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</si>
  <si>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</si>
  <si>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</si>
  <si>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</si>
  <si>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</si>
  <si>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</si>
  <si>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</si>
  <si>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</si>
  <si>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</si>
  <si>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</si>
  <si>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</si>
  <si>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</si>
  <si>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</si>
  <si>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</si>
  <si>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</si>
  <si>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</si>
  <si>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</si>
  <si>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</si>
  <si>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</si>
  <si>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</si>
  <si>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</si>
  <si>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</si>
  <si>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</si>
  <si>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</si>
  <si>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</si>
  <si>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</si>
  <si>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</si>
  <si>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</si>
  <si>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</si>
  <si>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</si>
  <si>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</si>
  <si>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</si>
  <si>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</si>
  <si>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</si>
  <si>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</si>
  <si>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</si>
  <si>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</si>
  <si>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</si>
  <si>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</si>
  <si>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</si>
  <si>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</si>
  <si>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</si>
  <si>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</si>
  <si>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</si>
  <si>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</si>
  <si>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</si>
  <si>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</si>
  <si>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</si>
  <si>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</si>
  <si>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</si>
  <si>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</si>
  <si>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</si>
  <si>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</si>
  <si>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</si>
  <si>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</si>
  <si>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</si>
  <si>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</si>
  <si>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</si>
  <si>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</si>
  <si>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</si>
  <si>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in the sample as a percentage of the stated  label claim is </t>
  </si>
  <si>
    <t>Omeprazole</t>
  </si>
  <si>
    <t>David Moenga</t>
  </si>
  <si>
    <t>SECLO 40 IV INJECTION</t>
  </si>
  <si>
    <t>NDQD201406492</t>
  </si>
  <si>
    <t>OMEPRAZOLE BP</t>
  </si>
  <si>
    <t>Each vial contains Omeprazole 40 mg (As lyophilised powder of Omeprazole Sodium BP)</t>
  </si>
  <si>
    <t>Each vial contains Omeprazole 40 mg(as lyophilised powder of Omeprazole Sodium BP)</t>
  </si>
  <si>
    <t>O14 2</t>
  </si>
  <si>
    <t>Intact Vial (mg)</t>
  </si>
  <si>
    <t>Empty Vial (mg)</t>
  </si>
  <si>
    <t>Vial Content (mg)</t>
  </si>
  <si>
    <t>Desired Concentration (mg/mL):</t>
  </si>
  <si>
    <t>Each vial contains</t>
  </si>
  <si>
    <t>Average vial content weight (mg):</t>
  </si>
  <si>
    <t>Initial Sample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</si>
</sst>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0.000"/>
    <numFmt numFmtId="171" formatCode="d\-mmm\-yyyy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FF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1" fillId="2" borderId="34" xfId="0" applyFont="1" applyFill="1" applyBorder="1" applyAlignment="1">
      <alignment horizontal="right"/>
    </xf>
    <xf numFmtId="0" fontId="11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0" fontId="12" fillId="6" borderId="41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1" xfId="0" applyFont="1" applyFill="1" applyBorder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43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10" xfId="0" applyFont="1" applyFill="1" applyBorder="1" applyAlignment="1">
      <alignment horizontal="center"/>
    </xf>
    <xf numFmtId="0" fontId="12" fillId="2" borderId="44" xfId="0" applyFont="1" applyFill="1" applyBorder="1" applyAlignment="1">
      <alignment horizontal="center"/>
    </xf>
    <xf numFmtId="2" fontId="11" fillId="2" borderId="33" xfId="0" applyNumberFormat="1" applyFont="1" applyFill="1" applyBorder="1" applyAlignment="1">
      <alignment horizontal="center"/>
    </xf>
    <xf numFmtId="2" fontId="11" fillId="2" borderId="34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10" fontId="11" fillId="2" borderId="42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70" fontId="11" fillId="2" borderId="44" xfId="0" applyNumberFormat="1" applyFont="1" applyFill="1" applyBorder="1" applyAlignment="1">
      <alignment horizontal="center"/>
    </xf>
    <xf numFmtId="170" fontId="11" fillId="2" borderId="45" xfId="0" applyNumberFormat="1" applyFont="1" applyFill="1" applyBorder="1" applyAlignment="1">
      <alignment horizontal="center"/>
    </xf>
    <xf numFmtId="170" fontId="11" fillId="2" borderId="46" xfId="0" applyNumberFormat="1" applyFont="1" applyFill="1" applyBorder="1" applyAlignment="1">
      <alignment horizontal="center"/>
    </xf>
    <xf numFmtId="170" fontId="11" fillId="2" borderId="38" xfId="0" applyNumberFormat="1" applyFont="1" applyFill="1" applyBorder="1" applyAlignment="1">
      <alignment horizontal="center"/>
    </xf>
    <xf numFmtId="170" fontId="11" fillId="2" borderId="49" xfId="0" applyNumberFormat="1" applyFont="1" applyFill="1" applyBorder="1" applyAlignment="1">
      <alignment horizontal="center"/>
    </xf>
    <xf numFmtId="170" fontId="11" fillId="2" borderId="50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35" xfId="0" applyNumberFormat="1" applyFont="1" applyFill="1" applyBorder="1" applyAlignment="1">
      <alignment horizontal="center" vertical="center"/>
    </xf>
    <xf numFmtId="10" fontId="11" fillId="2" borderId="51" xfId="0" applyNumberFormat="1" applyFont="1" applyFill="1" applyBorder="1" applyAlignment="1">
      <alignment horizontal="center" vertic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42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35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37" xfId="0" applyFont="1" applyFill="1" applyBorder="1" applyAlignment="1">
      <alignment horizontal="right"/>
    </xf>
    <xf numFmtId="2" fontId="11" fillId="6" borderId="53" xfId="0" applyNumberFormat="1" applyFont="1" applyFill="1" applyBorder="1" applyAlignment="1">
      <alignment horizontal="center"/>
    </xf>
    <xf numFmtId="2" fontId="11" fillId="7" borderId="53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8" xfId="0" applyNumberFormat="1" applyFont="1" applyFill="1" applyBorder="1" applyAlignment="1">
      <alignment horizontal="center"/>
    </xf>
    <xf numFmtId="0" fontId="11" fillId="2" borderId="28" xfId="0" applyFont="1" applyFill="1" applyBorder="1" applyAlignment="1">
      <alignment horizontal="right"/>
    </xf>
    <xf numFmtId="170" fontId="12" fillId="7" borderId="28" xfId="0" applyNumberFormat="1" applyFont="1" applyFill="1" applyBorder="1" applyAlignment="1">
      <alignment horizontal="center"/>
    </xf>
    <xf numFmtId="0" fontId="11" fillId="2" borderId="47" xfId="0" applyFont="1" applyFill="1" applyBorder="1" applyAlignment="1">
      <alignment horizontal="right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8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8" fillId="3" borderId="36" xfId="0" applyFont="1" applyFill="1" applyBorder="1" applyAlignment="1" applyProtection="1">
      <alignment horizontal="center"/>
      <protection locked="0"/>
    </xf>
    <xf numFmtId="0" fontId="18" fillId="3" borderId="35" xfId="0" applyFont="1" applyFill="1" applyBorder="1" applyAlignment="1" applyProtection="1">
      <alignment horizontal="center"/>
      <protection locked="0"/>
    </xf>
    <xf numFmtId="0" fontId="18" fillId="3" borderId="54" xfId="0" applyFont="1" applyFill="1" applyBorder="1" applyAlignment="1" applyProtection="1">
      <alignment horizontal="center"/>
      <protection locked="0"/>
    </xf>
    <xf numFmtId="0" fontId="18" fillId="3" borderId="34" xfId="0" applyFont="1" applyFill="1" applyBorder="1" applyAlignment="1" applyProtection="1">
      <alignment horizontal="center"/>
      <protection locked="0"/>
    </xf>
    <xf numFmtId="0" fontId="18" fillId="3" borderId="40" xfId="0" applyFont="1" applyFill="1" applyBorder="1" applyAlignment="1" applyProtection="1">
      <alignment horizontal="center"/>
      <protection locked="0"/>
    </xf>
    <xf numFmtId="0" fontId="18" fillId="3" borderId="23" xfId="0" applyFont="1" applyFill="1" applyBorder="1" applyAlignment="1" applyProtection="1">
      <alignment horizontal="center"/>
      <protection locked="0"/>
    </xf>
    <xf numFmtId="0" fontId="18" fillId="3" borderId="28" xfId="0" applyFont="1" applyFill="1" applyBorder="1" applyAlignment="1" applyProtection="1">
      <alignment horizontal="center"/>
      <protection locked="0"/>
    </xf>
    <xf numFmtId="2" fontId="19" fillId="2" borderId="51" xfId="0" applyNumberFormat="1" applyFont="1" applyFill="1" applyBorder="1" applyAlignment="1">
      <alignment horizontal="center"/>
    </xf>
    <xf numFmtId="0" fontId="18" fillId="3" borderId="33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10" fontId="18" fillId="7" borderId="15" xfId="0" applyNumberFormat="1" applyFont="1" applyFill="1" applyBorder="1" applyAlignment="1">
      <alignment horizontal="center"/>
    </xf>
    <xf numFmtId="10" fontId="18" fillId="6" borderId="16" xfId="0" applyNumberFormat="1" applyFont="1" applyFill="1" applyBorder="1" applyAlignment="1">
      <alignment horizontal="center"/>
    </xf>
    <xf numFmtId="0" fontId="18" fillId="7" borderId="19" xfId="0" applyFont="1" applyFill="1" applyBorder="1" applyAlignment="1">
      <alignment horizontal="center"/>
    </xf>
    <xf numFmtId="0" fontId="11" fillId="2" borderId="0" xfId="0" applyFont="1" applyFill="1" applyProtection="1">
      <protection locked="0"/>
    </xf>
    <xf numFmtId="14" fontId="6" fillId="2" borderId="0" xfId="0" applyNumberFormat="1" applyFont="1" applyFill="1"/>
    <xf numFmtId="0" fontId="6" fillId="2" borderId="45" xfId="0" applyFont="1" applyFill="1" applyBorder="1" applyAlignment="1">
      <alignment horizontal="center"/>
    </xf>
    <xf numFmtId="0" fontId="7" fillId="3" borderId="6" xfId="0" applyFont="1" applyFill="1" applyBorder="1" applyAlignment="1" applyProtection="1">
      <alignment horizontal="center"/>
      <protection locked="0"/>
    </xf>
    <xf numFmtId="0" fontId="7" fillId="3" borderId="8" xfId="0" applyFont="1" applyFill="1" applyBorder="1" applyAlignment="1" applyProtection="1">
      <alignment horizontal="center"/>
      <protection locked="0"/>
    </xf>
    <xf numFmtId="0" fontId="5" fillId="2" borderId="44" xfId="0" applyFont="1" applyFill="1" applyBorder="1" applyAlignment="1">
      <alignment horizontal="center"/>
    </xf>
    <xf numFmtId="1" fontId="5" fillId="4" borderId="46" xfId="0" applyNumberFormat="1" applyFont="1" applyFill="1" applyBorder="1" applyAlignment="1">
      <alignment horizontal="center"/>
    </xf>
    <xf numFmtId="0" fontId="7" fillId="3" borderId="56" xfId="0" applyFont="1" applyFill="1" applyBorder="1" applyAlignment="1" applyProtection="1">
      <alignment horizontal="center"/>
      <protection locked="0"/>
    </xf>
    <xf numFmtId="0" fontId="7" fillId="3" borderId="57" xfId="0" applyFont="1" applyFill="1" applyBorder="1" applyAlignment="1" applyProtection="1">
      <alignment horizontal="center"/>
      <protection locked="0"/>
    </xf>
    <xf numFmtId="0" fontId="7" fillId="3" borderId="58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7" fillId="2" borderId="55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2" fillId="2" borderId="2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55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2" fontId="18" fillId="3" borderId="31" xfId="0" applyNumberFormat="1" applyFont="1" applyFill="1" applyBorder="1" applyAlignment="1" applyProtection="1">
      <alignment horizontal="center" vertical="center"/>
      <protection locked="0"/>
    </xf>
    <xf numFmtId="2" fontId="18" fillId="3" borderId="42" xfId="0" applyNumberFormat="1" applyFont="1" applyFill="1" applyBorder="1" applyAlignment="1" applyProtection="1">
      <alignment horizontal="center" vertical="center"/>
      <protection locked="0"/>
    </xf>
    <xf numFmtId="2" fontId="18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48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2" borderId="47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17" fillId="2" borderId="36" xfId="0" applyFont="1" applyFill="1" applyBorder="1" applyAlignment="1">
      <alignment horizontal="center" vertical="center" wrapText="1"/>
    </xf>
    <xf numFmtId="0" fontId="17" fillId="2" borderId="47" xfId="0" applyFont="1" applyFill="1" applyBorder="1" applyAlignment="1">
      <alignment horizontal="center" vertical="center" wrapText="1"/>
    </xf>
    <xf numFmtId="0" fontId="17" fillId="2" borderId="5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55" xfId="0" applyFont="1" applyFill="1" applyBorder="1" applyAlignment="1">
      <alignment horizontal="center"/>
    </xf>
    <xf numFmtId="0" fontId="22" fillId="2" borderId="30" xfId="0" applyFont="1" applyFill="1" applyBorder="1" applyAlignment="1">
      <alignment horizontal="center"/>
    </xf>
    <xf numFmtId="0" fontId="22" fillId="2" borderId="13" xfId="0" applyFont="1" applyFill="1" applyBorder="1" applyAlignment="1">
      <alignment horizontal="center"/>
    </xf>
    <xf numFmtId="0" fontId="18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/>
      <protection locked="0"/>
    </xf>
    <xf numFmtId="171" fontId="11" fillId="3" borderId="0" xfId="0" applyNumberFormat="1" applyFont="1" applyFill="1" applyAlignment="1" applyProtection="1">
      <alignment horizontal="left"/>
      <protection locked="0"/>
    </xf>
    <xf numFmtId="10" fontId="24" fillId="2" borderId="16" xfId="0" applyNumberFormat="1" applyFont="1" applyFill="1" applyBorder="1" applyAlignment="1">
      <alignment horizontal="center"/>
    </xf>
    <xf numFmtId="10" fontId="24" fillId="2" borderId="19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 applyProtection="1">
      <alignment horizontal="center"/>
      <protection locked="0"/>
    </xf>
    <xf numFmtId="2" fontId="7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right"/>
    </xf>
    <xf numFmtId="0" fontId="6" fillId="0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/>
    <xf numFmtId="166" fontId="11" fillId="6" borderId="53" xfId="0" applyNumberFormat="1" applyFont="1" applyFill="1" applyBorder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166" fontId="18" fillId="3" borderId="53" xfId="0" applyNumberFormat="1" applyFont="1" applyFill="1" applyBorder="1" applyAlignment="1" applyProtection="1">
      <alignment horizontal="center"/>
      <protection locked="0"/>
    </xf>
    <xf numFmtId="2" fontId="12" fillId="2" borderId="0" xfId="0" applyNumberFormat="1" applyFont="1" applyFill="1" applyAlignment="1" applyProtection="1">
      <alignment horizontal="center"/>
      <protection locked="0"/>
    </xf>
  </cellXfs>
  <cellStyles count="1">
    <cellStyle name="Normal" xfId="0" builtinId="0"/>
  </cellStyles>
  <dxfs count="86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E29" sqref="E29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45" t="s">
        <v>0</v>
      </c>
      <c r="B15" s="245"/>
      <c r="C15" s="245"/>
      <c r="D15" s="245"/>
      <c r="E15" s="24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76" t="s">
        <v>102</v>
      </c>
      <c r="D17" s="9"/>
      <c r="E17" s="10"/>
    </row>
    <row r="18" spans="1:6" ht="16.5" customHeight="1" x14ac:dyDescent="0.3">
      <c r="A18" s="11" t="s">
        <v>4</v>
      </c>
      <c r="B18" s="76" t="s">
        <v>103</v>
      </c>
      <c r="C18" s="10"/>
      <c r="D18" s="10"/>
      <c r="E18" s="10"/>
    </row>
    <row r="19" spans="1:6" ht="16.5" customHeight="1" x14ac:dyDescent="0.3">
      <c r="A19" s="11" t="s">
        <v>5</v>
      </c>
      <c r="B19" s="12">
        <v>98.76</v>
      </c>
      <c r="C19" s="10"/>
      <c r="D19" s="10"/>
      <c r="E19" s="10"/>
    </row>
    <row r="20" spans="1:6" ht="16.5" customHeight="1" x14ac:dyDescent="0.3">
      <c r="A20" s="7" t="s">
        <v>6</v>
      </c>
      <c r="B20" s="12">
        <v>24.55</v>
      </c>
      <c r="C20" s="10"/>
      <c r="D20" s="10"/>
      <c r="E20" s="10"/>
    </row>
    <row r="21" spans="1:6" ht="16.5" customHeight="1" x14ac:dyDescent="0.3">
      <c r="A21" s="7" t="s">
        <v>7</v>
      </c>
      <c r="B21" s="13">
        <v>0.05</v>
      </c>
      <c r="C21" s="10"/>
      <c r="D21" s="10"/>
      <c r="E21" s="10"/>
    </row>
    <row r="22" spans="1:6" ht="15.75" customHeight="1" x14ac:dyDescent="0.3">
      <c r="A22" s="10"/>
      <c r="B22" s="235">
        <v>42186</v>
      </c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13730542</v>
      </c>
      <c r="C24" s="18">
        <v>11859</v>
      </c>
      <c r="D24" s="19">
        <v>1.01</v>
      </c>
      <c r="E24" s="20">
        <v>6.13</v>
      </c>
    </row>
    <row r="25" spans="1:6" ht="16.5" customHeight="1" x14ac:dyDescent="0.3">
      <c r="A25" s="17">
        <v>2</v>
      </c>
      <c r="B25" s="18">
        <v>13762054</v>
      </c>
      <c r="C25" s="18">
        <v>11789</v>
      </c>
      <c r="D25" s="19">
        <v>1.03</v>
      </c>
      <c r="E25" s="19">
        <v>6.12</v>
      </c>
    </row>
    <row r="26" spans="1:6" ht="16.5" customHeight="1" x14ac:dyDescent="0.3">
      <c r="A26" s="17">
        <v>3</v>
      </c>
      <c r="B26" s="18">
        <v>13761601</v>
      </c>
      <c r="C26" s="18">
        <v>11807</v>
      </c>
      <c r="D26" s="19">
        <v>1</v>
      </c>
      <c r="E26" s="19">
        <v>6.14</v>
      </c>
    </row>
    <row r="27" spans="1:6" ht="16.5" customHeight="1" x14ac:dyDescent="0.3">
      <c r="A27" s="17">
        <v>4</v>
      </c>
      <c r="B27" s="18">
        <v>13724685</v>
      </c>
      <c r="C27" s="18">
        <v>11747</v>
      </c>
      <c r="D27" s="19">
        <v>1.01</v>
      </c>
      <c r="E27" s="19">
        <v>6.13</v>
      </c>
    </row>
    <row r="28" spans="1:6" ht="16.5" customHeight="1" x14ac:dyDescent="0.3">
      <c r="A28" s="17">
        <v>5</v>
      </c>
      <c r="B28" s="18">
        <v>13712594</v>
      </c>
      <c r="C28" s="18">
        <v>11727</v>
      </c>
      <c r="D28" s="19">
        <v>1.01</v>
      </c>
      <c r="E28" s="19">
        <v>6.13</v>
      </c>
    </row>
    <row r="29" spans="1:6" ht="16.5" customHeight="1" x14ac:dyDescent="0.3">
      <c r="A29" s="17">
        <v>6</v>
      </c>
      <c r="B29" s="21">
        <v>13748787</v>
      </c>
      <c r="C29" s="21">
        <v>11693</v>
      </c>
      <c r="D29" s="22">
        <v>1</v>
      </c>
      <c r="E29" s="22">
        <v>6.13</v>
      </c>
    </row>
    <row r="30" spans="1:6" ht="16.5" customHeight="1" x14ac:dyDescent="0.3">
      <c r="A30" s="23" t="s">
        <v>13</v>
      </c>
      <c r="B30" s="24">
        <f>AVERAGE(B24:B29)</f>
        <v>13740043.833333334</v>
      </c>
      <c r="C30" s="25">
        <f>AVERAGE(C24:C29)</f>
        <v>11770.333333333334</v>
      </c>
      <c r="D30" s="26">
        <f>AVERAGE(D24:D29)</f>
        <v>1.01</v>
      </c>
      <c r="E30" s="26">
        <f>AVERAGE(E24:E29)</f>
        <v>6.13</v>
      </c>
    </row>
    <row r="31" spans="1:6" ht="16.5" customHeight="1" x14ac:dyDescent="0.3">
      <c r="A31" s="27" t="s">
        <v>14</v>
      </c>
      <c r="B31" s="28">
        <f>(STDEV(B24:B29)/B30)</f>
        <v>1.493417275089246E-3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239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236">
        <v>1</v>
      </c>
      <c r="B45" s="241"/>
      <c r="C45" s="237"/>
      <c r="D45" s="19"/>
      <c r="E45" s="20"/>
    </row>
    <row r="46" spans="1:6" ht="16.5" customHeight="1" x14ac:dyDescent="0.3">
      <c r="A46" s="236">
        <v>2</v>
      </c>
      <c r="B46" s="242"/>
      <c r="C46" s="237"/>
      <c r="D46" s="19"/>
      <c r="E46" s="19"/>
    </row>
    <row r="47" spans="1:6" ht="16.5" customHeight="1" x14ac:dyDescent="0.3">
      <c r="A47" s="236">
        <v>3</v>
      </c>
      <c r="B47" s="242"/>
      <c r="C47" s="237"/>
      <c r="D47" s="19"/>
      <c r="E47" s="19"/>
    </row>
    <row r="48" spans="1:6" ht="16.5" customHeight="1" x14ac:dyDescent="0.3">
      <c r="A48" s="236">
        <v>4</v>
      </c>
      <c r="B48" s="242"/>
      <c r="C48" s="237"/>
      <c r="D48" s="19"/>
      <c r="E48" s="19"/>
    </row>
    <row r="49" spans="1:7" ht="16.5" customHeight="1" x14ac:dyDescent="0.3">
      <c r="A49" s="236">
        <v>5</v>
      </c>
      <c r="B49" s="242"/>
      <c r="C49" s="237"/>
      <c r="D49" s="19"/>
      <c r="E49" s="19"/>
    </row>
    <row r="50" spans="1:7" ht="16.5" customHeight="1" x14ac:dyDescent="0.3">
      <c r="A50" s="236">
        <v>6</v>
      </c>
      <c r="B50" s="243"/>
      <c r="C50" s="238"/>
      <c r="D50" s="22"/>
      <c r="E50" s="22"/>
    </row>
    <row r="51" spans="1:7" ht="16.5" customHeight="1" x14ac:dyDescent="0.3">
      <c r="A51" s="23" t="s">
        <v>13</v>
      </c>
      <c r="B51" s="240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46" t="s">
        <v>21</v>
      </c>
      <c r="C59" s="246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/>
      <c r="C60" s="48"/>
      <c r="E60" s="48"/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18" workbookViewId="0">
      <selection activeCell="H41" sqref="H41"/>
    </sheetView>
  </sheetViews>
  <sheetFormatPr defaultColWidth="9.109375" defaultRowHeight="15.6" x14ac:dyDescent="0.3"/>
  <cols>
    <col min="1" max="1" width="13.109375" style="291" customWidth="1"/>
    <col min="2" max="2" width="17.88671875" style="292" customWidth="1"/>
    <col min="3" max="3" width="18.88671875" style="291" customWidth="1"/>
    <col min="4" max="4" width="19.6640625" style="293" customWidth="1"/>
    <col min="5" max="5" width="18.44140625" style="291" customWidth="1"/>
    <col min="6" max="6" width="6.44140625" style="1" customWidth="1"/>
    <col min="7" max="7" width="17.109375" style="1" customWidth="1"/>
    <col min="8" max="8" width="13.109375" style="1" customWidth="1"/>
    <col min="9" max="9" width="11" style="1" customWidth="1"/>
    <col min="10" max="10" width="15" style="1" customWidth="1"/>
    <col min="11" max="11" width="7.5546875" style="1" customWidth="1"/>
    <col min="12" max="12" width="13.109375" style="1" customWidth="1"/>
    <col min="13" max="13" width="11" style="1" customWidth="1"/>
    <col min="14" max="14" width="12.33203125" style="1" customWidth="1"/>
    <col min="15" max="15" width="6.5546875" style="1" customWidth="1"/>
    <col min="16" max="16" width="9.109375" style="1"/>
  </cols>
  <sheetData>
    <row r="1" spans="1:15" ht="13.8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3.8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3.8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3.8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3.8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3.8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3.8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49" t="s">
        <v>26</v>
      </c>
      <c r="B8" s="249"/>
      <c r="C8" s="249"/>
      <c r="D8" s="249"/>
      <c r="E8" s="249"/>
      <c r="F8" s="249"/>
      <c r="G8" s="249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50" t="s">
        <v>27</v>
      </c>
      <c r="B10" s="250"/>
      <c r="C10" s="250"/>
      <c r="D10" s="250"/>
      <c r="E10" s="250"/>
      <c r="F10" s="250"/>
      <c r="G10" s="250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47" t="s">
        <v>28</v>
      </c>
      <c r="B11" s="247"/>
      <c r="C11" s="73" t="s">
        <v>102</v>
      </c>
      <c r="D11" s="23"/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47" t="s">
        <v>29</v>
      </c>
      <c r="B12" s="247"/>
      <c r="C12" s="73" t="s">
        <v>103</v>
      </c>
      <c r="D12" s="23"/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47" t="s">
        <v>30</v>
      </c>
      <c r="B13" s="247"/>
      <c r="C13" s="73" t="s">
        <v>104</v>
      </c>
      <c r="D13" s="23"/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47" t="s">
        <v>31</v>
      </c>
      <c r="B14" s="247"/>
      <c r="C14" s="248" t="s">
        <v>105</v>
      </c>
      <c r="D14" s="248"/>
      <c r="E14" s="248"/>
      <c r="F14" s="248"/>
      <c r="G14" s="248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47" t="s">
        <v>32</v>
      </c>
      <c r="B15" s="247"/>
      <c r="C15" s="74">
        <v>42289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47" t="s">
        <v>33</v>
      </c>
      <c r="B16" s="247"/>
      <c r="C16" s="74">
        <v>42292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ht="14.4" x14ac:dyDescent="0.3">
      <c r="A17" s="22"/>
      <c r="B17" s="73"/>
      <c r="C17" s="22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51" t="s">
        <v>1</v>
      </c>
      <c r="B18" s="251"/>
      <c r="C18" s="75" t="s">
        <v>34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C19" s="22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35</v>
      </c>
      <c r="B20" s="78" t="s">
        <v>108</v>
      </c>
      <c r="C20" s="79" t="s">
        <v>109</v>
      </c>
      <c r="D20" s="77" t="s">
        <v>110</v>
      </c>
      <c r="E20" s="80" t="s">
        <v>36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3.8" x14ac:dyDescent="0.3">
      <c r="A21" s="81">
        <v>1</v>
      </c>
      <c r="B21" s="82">
        <v>16212</v>
      </c>
      <c r="C21" s="83">
        <v>16067.01</v>
      </c>
      <c r="D21" s="84">
        <f>B21-C21</f>
        <v>144.98999999999978</v>
      </c>
      <c r="E21" s="85">
        <f>(D21-$D$43)/$D$43</f>
        <v>-9.2845813820353659E-2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3.8" x14ac:dyDescent="0.3">
      <c r="A22" s="86">
        <v>2</v>
      </c>
      <c r="B22" s="87">
        <v>15908.17</v>
      </c>
      <c r="C22" s="88">
        <v>15755.92</v>
      </c>
      <c r="D22" s="89">
        <f>B22-C22</f>
        <v>152.25</v>
      </c>
      <c r="E22" s="85">
        <f t="shared" ref="E21:E40" si="0">(D22-$D$43)/$D$43</f>
        <v>-4.7422409505128882E-2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3.8" x14ac:dyDescent="0.3">
      <c r="A23" s="86">
        <v>3</v>
      </c>
      <c r="B23" s="87">
        <v>16025.48</v>
      </c>
      <c r="C23" s="88">
        <v>15859.41</v>
      </c>
      <c r="D23" s="89">
        <f>B23-C23</f>
        <v>166.06999999999971</v>
      </c>
      <c r="E23" s="85">
        <f>(D23-$D$43)/$D$43</f>
        <v>3.9044732042581083E-2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3.8" x14ac:dyDescent="0.3">
      <c r="A24" s="86">
        <v>4</v>
      </c>
      <c r="B24" s="87">
        <v>15876.54</v>
      </c>
      <c r="C24" s="88">
        <v>15743.56</v>
      </c>
      <c r="D24" s="89">
        <f>B24-C24</f>
        <v>132.98000000000138</v>
      </c>
      <c r="E24" s="288">
        <f>(D24-$D$43)/$D$43</f>
        <v>-0.16798838762555482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3.8" x14ac:dyDescent="0.3">
      <c r="A25" s="86">
        <v>5</v>
      </c>
      <c r="B25" s="87">
        <v>15866.8</v>
      </c>
      <c r="C25" s="88">
        <v>15733.47</v>
      </c>
      <c r="D25" s="89">
        <f>B25-C25</f>
        <v>133.32999999999993</v>
      </c>
      <c r="E25" s="288">
        <f t="shared" si="0"/>
        <v>-0.16579855408419641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3.8" x14ac:dyDescent="0.3">
      <c r="A26" s="86">
        <v>6</v>
      </c>
      <c r="B26" s="87">
        <v>16118.71</v>
      </c>
      <c r="C26" s="88">
        <v>15983.04</v>
      </c>
      <c r="D26" s="89">
        <f>B26-C26</f>
        <v>135.66999999999825</v>
      </c>
      <c r="E26" s="288">
        <f t="shared" si="0"/>
        <v>-0.15115795269334975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3.8" x14ac:dyDescent="0.3">
      <c r="A27" s="86">
        <v>7</v>
      </c>
      <c r="B27" s="87">
        <v>16126.19</v>
      </c>
      <c r="C27" s="88">
        <v>15878.99</v>
      </c>
      <c r="D27" s="89">
        <f>B27-C27</f>
        <v>247.20000000000073</v>
      </c>
      <c r="E27" s="288">
        <f>(D27-$D$43)/$D$43</f>
        <v>0.54664814693157859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3.8" x14ac:dyDescent="0.3">
      <c r="A28" s="86">
        <v>8</v>
      </c>
      <c r="B28" s="87">
        <v>15750.72</v>
      </c>
      <c r="C28" s="88">
        <v>15613.16</v>
      </c>
      <c r="D28" s="89">
        <f>B28-C28</f>
        <v>137.55999999999949</v>
      </c>
      <c r="E28" s="288">
        <f t="shared" si="0"/>
        <v>-0.13933285156995739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3.8" x14ac:dyDescent="0.3">
      <c r="A29" s="86">
        <v>9</v>
      </c>
      <c r="B29" s="87">
        <v>16035.12</v>
      </c>
      <c r="C29" s="88">
        <v>15846.86</v>
      </c>
      <c r="D29" s="89">
        <f>B29-C29</f>
        <v>188.26000000000022</v>
      </c>
      <c r="E29" s="288">
        <f t="shared" si="0"/>
        <v>0.17788017856528501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3.8" x14ac:dyDescent="0.3">
      <c r="A30" s="86">
        <v>10</v>
      </c>
      <c r="B30" s="90">
        <v>15752.64</v>
      </c>
      <c r="C30" s="88">
        <v>15571.61</v>
      </c>
      <c r="D30" s="89">
        <f>B30-C30</f>
        <v>181.02999999999884</v>
      </c>
      <c r="E30" s="288">
        <f t="shared" si="0"/>
        <v>0.13264447426788448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3.8" x14ac:dyDescent="0.3">
      <c r="A31" s="86">
        <v>11</v>
      </c>
      <c r="B31" s="90">
        <v>15943.4</v>
      </c>
      <c r="C31" s="88">
        <v>15760.22</v>
      </c>
      <c r="D31" s="89">
        <f>B31-C31</f>
        <v>183.18000000000029</v>
      </c>
      <c r="E31" s="288">
        <f t="shared" si="0"/>
        <v>0.1460963088791512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3.8" x14ac:dyDescent="0.3">
      <c r="A32" s="86">
        <v>12</v>
      </c>
      <c r="B32" s="90">
        <v>15939.18</v>
      </c>
      <c r="C32" s="88">
        <v>15807</v>
      </c>
      <c r="D32" s="89">
        <f>B32-C32</f>
        <v>132.18000000000029</v>
      </c>
      <c r="E32" s="288">
        <f t="shared" si="0"/>
        <v>-0.1729937214344017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3.8" x14ac:dyDescent="0.3">
      <c r="A33" s="86">
        <v>13</v>
      </c>
      <c r="B33" s="90">
        <v>15612.19</v>
      </c>
      <c r="C33" s="88">
        <v>15471.23</v>
      </c>
      <c r="D33" s="89">
        <f>B33-C33</f>
        <v>140.96000000000095</v>
      </c>
      <c r="E33" s="288">
        <f t="shared" si="0"/>
        <v>-0.1180601828823781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3.8" x14ac:dyDescent="0.3">
      <c r="A34" s="86">
        <v>14</v>
      </c>
      <c r="B34" s="90">
        <v>16174.67</v>
      </c>
      <c r="C34" s="88">
        <v>16022.01</v>
      </c>
      <c r="D34" s="89">
        <f>B34-C34</f>
        <v>152.65999999999985</v>
      </c>
      <c r="E34" s="85">
        <f t="shared" si="0"/>
        <v>-4.4857175928099263E-2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3.8" x14ac:dyDescent="0.3">
      <c r="A35" s="86">
        <v>15</v>
      </c>
      <c r="B35" s="90">
        <v>16305.44</v>
      </c>
      <c r="C35" s="88">
        <v>16174.68</v>
      </c>
      <c r="D35" s="89">
        <f>B35-C35</f>
        <v>130.76000000000022</v>
      </c>
      <c r="E35" s="288">
        <f t="shared" si="0"/>
        <v>-0.18187818894509322</v>
      </c>
      <c r="G35" s="59"/>
      <c r="J35" s="59"/>
      <c r="K35" s="65"/>
      <c r="L35" s="60"/>
      <c r="N35" s="60"/>
    </row>
    <row r="36" spans="1:15" ht="13.8" x14ac:dyDescent="0.3">
      <c r="A36" s="86">
        <v>16</v>
      </c>
      <c r="B36" s="90">
        <v>15765.65</v>
      </c>
      <c r="C36" s="88">
        <v>15631.06</v>
      </c>
      <c r="D36" s="89">
        <f>B36-C36</f>
        <v>134.59000000000015</v>
      </c>
      <c r="E36" s="288">
        <f t="shared" si="0"/>
        <v>-0.15791515333527198</v>
      </c>
      <c r="G36" s="66"/>
      <c r="H36" s="66"/>
    </row>
    <row r="37" spans="1:15" ht="13.8" x14ac:dyDescent="0.3">
      <c r="A37" s="86">
        <v>17</v>
      </c>
      <c r="B37" s="90">
        <v>16058</v>
      </c>
      <c r="C37" s="88">
        <v>15925.71</v>
      </c>
      <c r="D37" s="89">
        <f>B37-C37</f>
        <v>132.29000000000087</v>
      </c>
      <c r="E37" s="288">
        <f t="shared" si="0"/>
        <v>-0.17230548803568255</v>
      </c>
    </row>
    <row r="38" spans="1:15" ht="13.8" x14ac:dyDescent="0.3">
      <c r="A38" s="86">
        <v>18</v>
      </c>
      <c r="B38" s="90">
        <v>16093.14</v>
      </c>
      <c r="C38" s="88">
        <v>15888.97</v>
      </c>
      <c r="D38" s="89">
        <f>B38-C38</f>
        <v>204.17000000000007</v>
      </c>
      <c r="E38" s="288">
        <f t="shared" si="0"/>
        <v>0.27742375468859054</v>
      </c>
    </row>
    <row r="39" spans="1:15" ht="13.8" x14ac:dyDescent="0.3">
      <c r="A39" s="86">
        <v>19</v>
      </c>
      <c r="B39" s="90">
        <v>16346.02</v>
      </c>
      <c r="C39" s="88">
        <v>16183.12</v>
      </c>
      <c r="D39" s="89">
        <f>B39-C39</f>
        <v>162.89999999999964</v>
      </c>
      <c r="E39" s="85">
        <f t="shared" si="0"/>
        <v>1.9211096825051947E-2</v>
      </c>
    </row>
    <row r="40" spans="1:15" ht="14.25" customHeight="1" x14ac:dyDescent="0.3">
      <c r="A40" s="91">
        <v>20</v>
      </c>
      <c r="B40" s="92">
        <v>15948.17</v>
      </c>
      <c r="C40" s="93">
        <v>15744.61</v>
      </c>
      <c r="D40" s="94">
        <f>B40-C40</f>
        <v>203.55999999999949</v>
      </c>
      <c r="E40" s="289">
        <f t="shared" si="0"/>
        <v>0.27360718765934633</v>
      </c>
    </row>
    <row r="41" spans="1:15" ht="14.25" customHeight="1" x14ac:dyDescent="0.3">
      <c r="A41" s="22"/>
      <c r="B41" s="73"/>
      <c r="C41" s="22"/>
      <c r="D41" s="61"/>
      <c r="E41" s="290"/>
      <c r="G41" s="54"/>
    </row>
    <row r="42" spans="1:15" ht="14.4" x14ac:dyDescent="0.3">
      <c r="A42" s="95" t="s">
        <v>37</v>
      </c>
      <c r="B42" s="96">
        <f>SUM(B21:B40)</f>
        <v>319858.23000000004</v>
      </c>
      <c r="C42" s="97">
        <f>SUM(C21:C40)</f>
        <v>316661.64</v>
      </c>
      <c r="D42" s="98">
        <f>SUM(D21:D40)</f>
        <v>3196.59</v>
      </c>
      <c r="E42" s="290"/>
    </row>
    <row r="43" spans="1:15" ht="15.75" customHeight="1" x14ac:dyDescent="0.3">
      <c r="A43" s="99" t="s">
        <v>38</v>
      </c>
      <c r="B43" s="100">
        <f>AVERAGE(B21:B40)</f>
        <v>15992.911500000002</v>
      </c>
      <c r="C43" s="101">
        <f>AVERAGE(C21:C40)</f>
        <v>15833.082</v>
      </c>
      <c r="D43" s="102">
        <f>AVERAGE(D21:D40)</f>
        <v>159.8295</v>
      </c>
      <c r="E43" s="290"/>
    </row>
    <row r="44" spans="1:15" ht="14.4" x14ac:dyDescent="0.3">
      <c r="A44" s="67"/>
      <c r="B44" s="103"/>
      <c r="C44" s="103"/>
      <c r="D44" s="73"/>
      <c r="E44" s="290"/>
    </row>
    <row r="45" spans="1:15" ht="14.25" customHeight="1" x14ac:dyDescent="0.3">
      <c r="A45" s="67"/>
      <c r="B45" s="67"/>
      <c r="C45" s="67"/>
      <c r="D45" s="73"/>
      <c r="E45" s="290"/>
    </row>
    <row r="46" spans="1:15" ht="30.75" customHeight="1" x14ac:dyDescent="0.3">
      <c r="A46" s="22"/>
      <c r="B46" s="104" t="s">
        <v>38</v>
      </c>
      <c r="C46" s="105" t="s">
        <v>39</v>
      </c>
      <c r="D46" s="23"/>
      <c r="E46" s="290"/>
    </row>
    <row r="47" spans="1:15" ht="15.75" customHeight="1" x14ac:dyDescent="0.3">
      <c r="A47" s="22"/>
      <c r="B47" s="252">
        <f>D43</f>
        <v>159.8295</v>
      </c>
      <c r="C47" s="106">
        <f>-(IF(D43&gt;300, 7.5%, 10%))</f>
        <v>-0.1</v>
      </c>
      <c r="D47" s="107">
        <f>IF(D43&lt;300, D43*0.9, D43*0.925)</f>
        <v>143.84655000000001</v>
      </c>
      <c r="E47" s="290"/>
    </row>
    <row r="48" spans="1:15" ht="15.75" customHeight="1" x14ac:dyDescent="0.3">
      <c r="A48" s="22"/>
      <c r="B48" s="253"/>
      <c r="C48" s="108">
        <f>+(IF(D43&gt;300, 7.5%, 10%))</f>
        <v>0.1</v>
      </c>
      <c r="D48" s="107">
        <f>IF(D43&lt;300, D43*1.1, D43*1.075)</f>
        <v>175.81245000000001</v>
      </c>
      <c r="E48" s="290"/>
    </row>
    <row r="49" spans="1:16" ht="14.25" customHeight="1" x14ac:dyDescent="0.3">
      <c r="A49" s="109"/>
      <c r="B49" s="3"/>
      <c r="C49" s="290"/>
      <c r="D49" s="110"/>
      <c r="E49" s="290"/>
    </row>
    <row r="50" spans="1:16" ht="15" customHeight="1" x14ac:dyDescent="0.3">
      <c r="A50" s="290"/>
      <c r="B50" s="246" t="s">
        <v>21</v>
      </c>
      <c r="C50" s="246"/>
      <c r="D50" s="73"/>
      <c r="E50" s="111" t="s">
        <v>22</v>
      </c>
      <c r="F50" s="112"/>
      <c r="G50" s="111" t="s">
        <v>23</v>
      </c>
    </row>
    <row r="51" spans="1:16" ht="15" customHeight="1" x14ac:dyDescent="0.3">
      <c r="A51" s="113" t="s">
        <v>24</v>
      </c>
      <c r="B51" s="114" t="s">
        <v>101</v>
      </c>
      <c r="C51" s="114"/>
      <c r="D51" s="73"/>
      <c r="E51" s="114"/>
      <c r="F51" s="67"/>
      <c r="G51" s="115"/>
    </row>
    <row r="52" spans="1:16" s="44" customFormat="1" ht="15" customHeight="1" x14ac:dyDescent="0.3">
      <c r="A52" s="244"/>
      <c r="B52" s="294"/>
      <c r="C52" s="294"/>
      <c r="D52" s="73"/>
      <c r="E52" s="294"/>
      <c r="F52" s="73"/>
      <c r="G52" s="115"/>
      <c r="H52" s="76"/>
      <c r="I52" s="76"/>
      <c r="J52" s="76"/>
      <c r="K52" s="76"/>
      <c r="L52" s="76"/>
      <c r="M52" s="76"/>
      <c r="N52" s="76"/>
      <c r="O52" s="76"/>
      <c r="P52" s="76"/>
    </row>
    <row r="53" spans="1:16" ht="15" customHeight="1" x14ac:dyDescent="0.3">
      <c r="A53" s="113" t="s">
        <v>25</v>
      </c>
      <c r="B53" s="295"/>
      <c r="C53" s="295"/>
      <c r="D53" s="294"/>
      <c r="E53" s="295"/>
      <c r="F53" s="67"/>
      <c r="G53" s="116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:E23">
    <cfRule type="cellIs" dxfId="16" priority="1" operator="notBetween">
      <formula>IF(+$D$43&lt;300, -10.5%, -7.5%)</formula>
      <formula>IF(+$D$43&lt;300, 10.5%, 7.5%)</formula>
    </cfRule>
  </conditionalFormatting>
  <conditionalFormatting sqref="E34">
    <cfRule type="cellIs" dxfId="6" priority="14" operator="notBetween">
      <formula>IF(+$D$43&lt;300, -10.5%, -7.5%)</formula>
      <formula>IF(+$D$43&lt;300, 10.5%, 7.5%)</formula>
    </cfRule>
  </conditionalFormatting>
  <conditionalFormatting sqref="E39">
    <cfRule type="cellIs" dxfId="1" priority="19" operator="notBetween">
      <formula>IF(+$D$43&lt;300, -10.5%, -7.5%)</formula>
      <formula>IF(+$D$43&lt;300, 10.5%, 7.5%)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tabSelected="1" topLeftCell="B1" zoomScale="75" zoomScaleNormal="75" zoomScalePageLayoutView="50" workbookViewId="0">
      <selection activeCell="F82" sqref="F82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41.109375" style="2" customWidth="1"/>
    <col min="9" max="9" width="30.44140625" style="2" customWidth="1"/>
    <col min="10" max="10" width="21.33203125" style="2" customWidth="1"/>
    <col min="11" max="11" width="9.109375" style="2" customWidth="1"/>
  </cols>
  <sheetData>
    <row r="1" spans="1:8" x14ac:dyDescent="0.3">
      <c r="A1" s="280" t="s">
        <v>40</v>
      </c>
      <c r="B1" s="280"/>
      <c r="C1" s="280"/>
      <c r="D1" s="280"/>
      <c r="E1" s="280"/>
      <c r="F1" s="280"/>
      <c r="G1" s="280"/>
      <c r="H1" s="280"/>
    </row>
    <row r="2" spans="1:8" x14ac:dyDescent="0.3">
      <c r="A2" s="280"/>
      <c r="B2" s="280"/>
      <c r="C2" s="280"/>
      <c r="D2" s="280"/>
      <c r="E2" s="280"/>
      <c r="F2" s="280"/>
      <c r="G2" s="280"/>
      <c r="H2" s="280"/>
    </row>
    <row r="3" spans="1:8" x14ac:dyDescent="0.3">
      <c r="A3" s="280"/>
      <c r="B3" s="280"/>
      <c r="C3" s="280"/>
      <c r="D3" s="280"/>
      <c r="E3" s="280"/>
      <c r="F3" s="280"/>
      <c r="G3" s="280"/>
      <c r="H3" s="280"/>
    </row>
    <row r="4" spans="1:8" x14ac:dyDescent="0.3">
      <c r="A4" s="280"/>
      <c r="B4" s="280"/>
      <c r="C4" s="280"/>
      <c r="D4" s="280"/>
      <c r="E4" s="280"/>
      <c r="F4" s="280"/>
      <c r="G4" s="280"/>
      <c r="H4" s="280"/>
    </row>
    <row r="5" spans="1:8" x14ac:dyDescent="0.3">
      <c r="A5" s="280"/>
      <c r="B5" s="280"/>
      <c r="C5" s="280"/>
      <c r="D5" s="280"/>
      <c r="E5" s="280"/>
      <c r="F5" s="280"/>
      <c r="G5" s="280"/>
      <c r="H5" s="280"/>
    </row>
    <row r="6" spans="1:8" x14ac:dyDescent="0.3">
      <c r="A6" s="280"/>
      <c r="B6" s="280"/>
      <c r="C6" s="280"/>
      <c r="D6" s="280"/>
      <c r="E6" s="280"/>
      <c r="F6" s="280"/>
      <c r="G6" s="280"/>
      <c r="H6" s="280"/>
    </row>
    <row r="7" spans="1:8" x14ac:dyDescent="0.3">
      <c r="A7" s="280"/>
      <c r="B7" s="280"/>
      <c r="C7" s="280"/>
      <c r="D7" s="280"/>
      <c r="E7" s="280"/>
      <c r="F7" s="280"/>
      <c r="G7" s="280"/>
      <c r="H7" s="280"/>
    </row>
    <row r="8" spans="1:8" x14ac:dyDescent="0.3">
      <c r="A8" s="281" t="s">
        <v>41</v>
      </c>
      <c r="B8" s="281"/>
      <c r="C8" s="281"/>
      <c r="D8" s="281"/>
      <c r="E8" s="281"/>
      <c r="F8" s="281"/>
      <c r="G8" s="281"/>
      <c r="H8" s="281"/>
    </row>
    <row r="9" spans="1:8" x14ac:dyDescent="0.3">
      <c r="A9" s="281"/>
      <c r="B9" s="281"/>
      <c r="C9" s="281"/>
      <c r="D9" s="281"/>
      <c r="E9" s="281"/>
      <c r="F9" s="281"/>
      <c r="G9" s="281"/>
      <c r="H9" s="281"/>
    </row>
    <row r="10" spans="1:8" x14ac:dyDescent="0.3">
      <c r="A10" s="281"/>
      <c r="B10" s="281"/>
      <c r="C10" s="281"/>
      <c r="D10" s="281"/>
      <c r="E10" s="281"/>
      <c r="F10" s="281"/>
      <c r="G10" s="281"/>
      <c r="H10" s="281"/>
    </row>
    <row r="11" spans="1:8" x14ac:dyDescent="0.3">
      <c r="A11" s="281"/>
      <c r="B11" s="281"/>
      <c r="C11" s="281"/>
      <c r="D11" s="281"/>
      <c r="E11" s="281"/>
      <c r="F11" s="281"/>
      <c r="G11" s="281"/>
      <c r="H11" s="281"/>
    </row>
    <row r="12" spans="1:8" x14ac:dyDescent="0.3">
      <c r="A12" s="281"/>
      <c r="B12" s="281"/>
      <c r="C12" s="281"/>
      <c r="D12" s="281"/>
      <c r="E12" s="281"/>
      <c r="F12" s="281"/>
      <c r="G12" s="281"/>
      <c r="H12" s="281"/>
    </row>
    <row r="13" spans="1:8" x14ac:dyDescent="0.3">
      <c r="A13" s="281"/>
      <c r="B13" s="281"/>
      <c r="C13" s="281"/>
      <c r="D13" s="281"/>
      <c r="E13" s="281"/>
      <c r="F13" s="281"/>
      <c r="G13" s="281"/>
      <c r="H13" s="281"/>
    </row>
    <row r="14" spans="1:8" x14ac:dyDescent="0.3">
      <c r="A14" s="281"/>
      <c r="B14" s="281"/>
      <c r="C14" s="281"/>
      <c r="D14" s="281"/>
      <c r="E14" s="281"/>
      <c r="F14" s="281"/>
      <c r="G14" s="281"/>
      <c r="H14" s="281"/>
    </row>
    <row r="15" spans="1:8" ht="19.5" customHeight="1" x14ac:dyDescent="0.3"/>
    <row r="16" spans="1:8" ht="19.5" customHeight="1" x14ac:dyDescent="0.3">
      <c r="A16" s="282" t="s">
        <v>26</v>
      </c>
      <c r="B16" s="283"/>
      <c r="C16" s="283"/>
      <c r="D16" s="283"/>
      <c r="E16" s="283"/>
      <c r="F16" s="283"/>
      <c r="G16" s="283"/>
      <c r="H16" s="284"/>
    </row>
    <row r="17" spans="1:13" ht="18" x14ac:dyDescent="0.35">
      <c r="A17" s="117" t="s">
        <v>42</v>
      </c>
      <c r="B17" s="117"/>
    </row>
    <row r="18" spans="1:13" ht="18" x14ac:dyDescent="0.35">
      <c r="A18" s="119" t="s">
        <v>28</v>
      </c>
      <c r="B18" s="286" t="s">
        <v>102</v>
      </c>
      <c r="C18" s="286"/>
      <c r="D18" s="178"/>
      <c r="E18" s="178"/>
    </row>
    <row r="19" spans="1:13" ht="18" x14ac:dyDescent="0.35">
      <c r="A19" s="119" t="s">
        <v>29</v>
      </c>
      <c r="B19" s="179" t="s">
        <v>103</v>
      </c>
      <c r="C19" s="234">
        <v>15</v>
      </c>
    </row>
    <row r="20" spans="1:13" ht="18" x14ac:dyDescent="0.35">
      <c r="A20" s="119" t="s">
        <v>30</v>
      </c>
      <c r="B20" s="179" t="s">
        <v>104</v>
      </c>
    </row>
    <row r="21" spans="1:13" ht="18" x14ac:dyDescent="0.35">
      <c r="A21" s="119" t="s">
        <v>31</v>
      </c>
      <c r="B21" s="199" t="s">
        <v>106</v>
      </c>
      <c r="C21" s="199"/>
      <c r="D21" s="199"/>
      <c r="E21" s="199"/>
      <c r="F21" s="199"/>
      <c r="G21" s="199"/>
      <c r="H21" s="199"/>
    </row>
    <row r="22" spans="1:13" ht="18" x14ac:dyDescent="0.35">
      <c r="A22" s="119" t="s">
        <v>32</v>
      </c>
      <c r="B22" s="287">
        <v>42289</v>
      </c>
    </row>
    <row r="23" spans="1:13" ht="18" x14ac:dyDescent="0.35">
      <c r="A23" s="119" t="s">
        <v>33</v>
      </c>
      <c r="B23" s="287">
        <v>42292</v>
      </c>
    </row>
    <row r="24" spans="1:13" ht="18" x14ac:dyDescent="0.35">
      <c r="A24" s="119"/>
      <c r="B24" s="122"/>
    </row>
    <row r="25" spans="1:13" ht="18" x14ac:dyDescent="0.35">
      <c r="A25" s="123" t="s">
        <v>1</v>
      </c>
      <c r="B25" s="122"/>
    </row>
    <row r="26" spans="1:13" ht="26.25" customHeight="1" x14ac:dyDescent="0.45">
      <c r="A26" s="124" t="s">
        <v>4</v>
      </c>
      <c r="B26" s="285" t="s">
        <v>100</v>
      </c>
      <c r="C26" s="285"/>
    </row>
    <row r="27" spans="1:13" ht="26.25" customHeight="1" x14ac:dyDescent="0.45">
      <c r="A27" s="126" t="s">
        <v>43</v>
      </c>
      <c r="B27" s="218" t="s">
        <v>107</v>
      </c>
    </row>
    <row r="28" spans="1:13" ht="27" customHeight="1" x14ac:dyDescent="0.45">
      <c r="A28" s="126" t="s">
        <v>5</v>
      </c>
      <c r="B28" s="219">
        <v>98.76</v>
      </c>
    </row>
    <row r="29" spans="1:13" s="11" customFormat="1" ht="27" customHeight="1" x14ac:dyDescent="0.45">
      <c r="A29" s="126" t="s">
        <v>44</v>
      </c>
      <c r="B29" s="218">
        <v>0</v>
      </c>
      <c r="C29" s="255" t="s">
        <v>45</v>
      </c>
      <c r="D29" s="256"/>
      <c r="E29" s="256"/>
      <c r="F29" s="256"/>
      <c r="G29" s="257"/>
      <c r="I29" s="128"/>
      <c r="J29" s="128"/>
      <c r="K29" s="128"/>
    </row>
    <row r="30" spans="1:13" s="11" customFormat="1" ht="19.5" customHeight="1" x14ac:dyDescent="0.35">
      <c r="A30" s="126" t="s">
        <v>46</v>
      </c>
      <c r="B30" s="125">
        <f>B28-B29</f>
        <v>98.76</v>
      </c>
      <c r="C30" s="129"/>
      <c r="D30" s="129"/>
      <c r="E30" s="129"/>
      <c r="F30" s="129"/>
      <c r="G30" s="130"/>
      <c r="I30" s="128"/>
      <c r="J30" s="128"/>
      <c r="K30" s="128"/>
    </row>
    <row r="31" spans="1:13" s="11" customFormat="1" ht="27" customHeight="1" x14ac:dyDescent="0.45">
      <c r="A31" s="126" t="s">
        <v>47</v>
      </c>
      <c r="B31" s="220">
        <v>1</v>
      </c>
      <c r="C31" s="260" t="s">
        <v>48</v>
      </c>
      <c r="D31" s="261"/>
      <c r="E31" s="261"/>
      <c r="F31" s="261"/>
      <c r="G31" s="261"/>
      <c r="H31" s="262"/>
      <c r="I31" s="128"/>
      <c r="J31" s="128"/>
      <c r="K31" s="128"/>
    </row>
    <row r="32" spans="1:13" s="11" customFormat="1" ht="27" customHeight="1" x14ac:dyDescent="0.45">
      <c r="A32" s="126" t="s">
        <v>49</v>
      </c>
      <c r="B32" s="220">
        <v>1</v>
      </c>
      <c r="C32" s="260" t="s">
        <v>50</v>
      </c>
      <c r="D32" s="261"/>
      <c r="E32" s="261"/>
      <c r="F32" s="261"/>
      <c r="G32" s="261"/>
      <c r="H32" s="262"/>
      <c r="I32" s="128"/>
      <c r="J32" s="128"/>
      <c r="K32" s="132"/>
      <c r="L32" s="132"/>
      <c r="M32" s="133"/>
    </row>
    <row r="33" spans="1:13" s="11" customFormat="1" ht="17.25" customHeight="1" x14ac:dyDescent="0.35">
      <c r="A33" s="126"/>
      <c r="B33" s="131"/>
      <c r="C33" s="134"/>
      <c r="D33" s="134"/>
      <c r="E33" s="134"/>
      <c r="F33" s="134"/>
      <c r="G33" s="134"/>
      <c r="H33" s="134"/>
      <c r="I33" s="128"/>
      <c r="J33" s="128"/>
      <c r="K33" s="132"/>
      <c r="L33" s="132"/>
      <c r="M33" s="133"/>
    </row>
    <row r="34" spans="1:13" s="11" customFormat="1" ht="18" x14ac:dyDescent="0.35">
      <c r="A34" s="126" t="s">
        <v>51</v>
      </c>
      <c r="B34" s="135">
        <f>B31/B32</f>
        <v>1</v>
      </c>
      <c r="C34" s="118" t="s">
        <v>52</v>
      </c>
      <c r="D34" s="118"/>
      <c r="E34" s="118"/>
      <c r="F34" s="118"/>
      <c r="G34" s="118"/>
      <c r="I34" s="128"/>
      <c r="J34" s="128"/>
      <c r="K34" s="132"/>
      <c r="L34" s="132"/>
      <c r="M34" s="133"/>
    </row>
    <row r="35" spans="1:13" s="11" customFormat="1" ht="19.5" customHeight="1" x14ac:dyDescent="0.35">
      <c r="A35" s="126"/>
      <c r="B35" s="125"/>
      <c r="G35" s="118"/>
      <c r="I35" s="128"/>
      <c r="J35" s="128"/>
      <c r="K35" s="132"/>
      <c r="L35" s="132"/>
      <c r="M35" s="133"/>
    </row>
    <row r="36" spans="1:13" s="11" customFormat="1" ht="27" customHeight="1" x14ac:dyDescent="0.45">
      <c r="A36" s="136" t="s">
        <v>53</v>
      </c>
      <c r="B36" s="221">
        <v>50</v>
      </c>
      <c r="C36" s="118"/>
      <c r="D36" s="258" t="s">
        <v>54</v>
      </c>
      <c r="E36" s="270"/>
      <c r="F36" s="258" t="s">
        <v>55</v>
      </c>
      <c r="G36" s="259"/>
      <c r="I36" s="128"/>
      <c r="J36" s="128"/>
      <c r="K36" s="132"/>
      <c r="L36" s="132"/>
      <c r="M36" s="133"/>
    </row>
    <row r="37" spans="1:13" s="11" customFormat="1" ht="26.25" customHeight="1" x14ac:dyDescent="0.45">
      <c r="A37" s="137" t="s">
        <v>56</v>
      </c>
      <c r="B37" s="222">
        <v>5</v>
      </c>
      <c r="C37" s="139" t="s">
        <v>57</v>
      </c>
      <c r="D37" s="140" t="s">
        <v>58</v>
      </c>
      <c r="E37" s="172" t="s">
        <v>59</v>
      </c>
      <c r="F37" s="140" t="s">
        <v>58</v>
      </c>
      <c r="G37" s="141" t="s">
        <v>59</v>
      </c>
      <c r="I37" s="128"/>
      <c r="J37" s="128"/>
      <c r="K37" s="132"/>
      <c r="L37" s="132"/>
      <c r="M37" s="133"/>
    </row>
    <row r="38" spans="1:13" s="11" customFormat="1" ht="26.25" customHeight="1" x14ac:dyDescent="0.45">
      <c r="A38" s="137" t="s">
        <v>60</v>
      </c>
      <c r="B38" s="222">
        <v>50</v>
      </c>
      <c r="C38" s="142">
        <v>1</v>
      </c>
      <c r="D38" s="223">
        <v>13745950</v>
      </c>
      <c r="E38" s="180">
        <f>IF(ISBLANK(D38),"-",$D$48/$D$45*D38)</f>
        <v>14173665.880544001</v>
      </c>
      <c r="F38" s="223">
        <v>14499642</v>
      </c>
      <c r="G38" s="183">
        <f>IF(ISBLANK(F38),"-",$D$48/$F$45*F38)</f>
        <v>14198931.352249516</v>
      </c>
      <c r="I38" s="128"/>
      <c r="J38" s="128"/>
      <c r="K38" s="132"/>
      <c r="L38" s="132"/>
      <c r="M38" s="133"/>
    </row>
    <row r="39" spans="1:13" s="11" customFormat="1" ht="26.25" customHeight="1" x14ac:dyDescent="0.45">
      <c r="A39" s="137" t="s">
        <v>61</v>
      </c>
      <c r="B39" s="222">
        <v>1</v>
      </c>
      <c r="C39" s="138">
        <v>2</v>
      </c>
      <c r="D39" s="224">
        <v>13726820</v>
      </c>
      <c r="E39" s="181">
        <f>IF(ISBLANK(D39),"-",$D$48/$D$45*D39)</f>
        <v>14153940.635777738</v>
      </c>
      <c r="F39" s="224">
        <v>14533980</v>
      </c>
      <c r="G39" s="184">
        <f>IF(ISBLANK(F39),"-",$D$48/$F$45*F39)</f>
        <v>14232557.210375775</v>
      </c>
      <c r="I39" s="128"/>
      <c r="J39" s="128"/>
      <c r="K39" s="132"/>
      <c r="L39" s="132"/>
      <c r="M39" s="133"/>
    </row>
    <row r="40" spans="1:13" ht="26.25" customHeight="1" x14ac:dyDescent="0.45">
      <c r="A40" s="137" t="s">
        <v>62</v>
      </c>
      <c r="B40" s="222">
        <v>1</v>
      </c>
      <c r="C40" s="138">
        <v>3</v>
      </c>
      <c r="D40" s="224">
        <v>13712122</v>
      </c>
      <c r="E40" s="181">
        <f>IF(ISBLANK(D40),"-",$D$48/$D$45*D40)</f>
        <v>14138785.296124078</v>
      </c>
      <c r="F40" s="224">
        <v>14501720</v>
      </c>
      <c r="G40" s="184">
        <f>IF(ISBLANK(F40),"-",$D$48/$F$45*F40)</f>
        <v>14200966.256238868</v>
      </c>
      <c r="K40" s="132"/>
      <c r="L40" s="132"/>
      <c r="M40" s="143"/>
    </row>
    <row r="41" spans="1:13" ht="26.25" customHeight="1" x14ac:dyDescent="0.45">
      <c r="A41" s="137" t="s">
        <v>63</v>
      </c>
      <c r="B41" s="222">
        <v>1</v>
      </c>
      <c r="C41" s="144">
        <v>4</v>
      </c>
      <c r="D41" s="225"/>
      <c r="E41" s="182" t="str">
        <f>IF(ISBLANK(D41),"-",$D$48/$D$45*D41)</f>
        <v>-</v>
      </c>
      <c r="F41" s="225"/>
      <c r="G41" s="185" t="str">
        <f>IF(ISBLANK(F41),"-",$D$48/$F$45*F41)</f>
        <v>-</v>
      </c>
      <c r="K41" s="132"/>
      <c r="L41" s="132"/>
      <c r="M41" s="143"/>
    </row>
    <row r="42" spans="1:13" ht="27" customHeight="1" x14ac:dyDescent="0.45">
      <c r="A42" s="137" t="s">
        <v>64</v>
      </c>
      <c r="B42" s="222">
        <v>1</v>
      </c>
      <c r="C42" s="145" t="s">
        <v>65</v>
      </c>
      <c r="D42" s="203">
        <f>AVERAGE(D38:D41)</f>
        <v>13728297.333333334</v>
      </c>
      <c r="E42" s="169">
        <f>AVERAGE(E38:E41)</f>
        <v>14155463.93748194</v>
      </c>
      <c r="F42" s="146">
        <f>AVERAGE(F38:F41)</f>
        <v>14511780.666666666</v>
      </c>
      <c r="G42" s="147">
        <f>AVERAGE(G38:G41)</f>
        <v>14210818.272954719</v>
      </c>
      <c r="H42" s="198"/>
    </row>
    <row r="43" spans="1:13" ht="26.25" customHeight="1" x14ac:dyDescent="0.45">
      <c r="A43" s="137" t="s">
        <v>66</v>
      </c>
      <c r="B43" s="219">
        <v>1</v>
      </c>
      <c r="C43" s="204" t="s">
        <v>67</v>
      </c>
      <c r="D43" s="226">
        <v>24.55</v>
      </c>
      <c r="E43" s="143"/>
      <c r="F43" s="227">
        <v>25.85</v>
      </c>
      <c r="H43" s="198"/>
    </row>
    <row r="44" spans="1:13" ht="26.25" customHeight="1" x14ac:dyDescent="0.45">
      <c r="A44" s="137" t="s">
        <v>68</v>
      </c>
      <c r="B44" s="219">
        <v>1</v>
      </c>
      <c r="C44" s="205" t="s">
        <v>69</v>
      </c>
      <c r="D44" s="206">
        <f>D43*$B$34</f>
        <v>24.55</v>
      </c>
      <c r="E44" s="149"/>
      <c r="F44" s="148">
        <f>F43*$B$34</f>
        <v>25.85</v>
      </c>
      <c r="H44" s="198"/>
    </row>
    <row r="45" spans="1:13" ht="19.5" customHeight="1" x14ac:dyDescent="0.35">
      <c r="A45" s="137" t="s">
        <v>70</v>
      </c>
      <c r="B45" s="202">
        <f>(B44/B43)*(B42/B41)*(B40/B39)*(B38/B37)*B36</f>
        <v>500</v>
      </c>
      <c r="C45" s="205" t="s">
        <v>71</v>
      </c>
      <c r="D45" s="207">
        <f>D44*$B$30/100</f>
        <v>24.24558</v>
      </c>
      <c r="E45" s="151"/>
      <c r="F45" s="150">
        <f>F44*$B$30/100</f>
        <v>25.529460000000004</v>
      </c>
      <c r="H45" s="198"/>
    </row>
    <row r="46" spans="1:13" ht="19.5" customHeight="1" x14ac:dyDescent="0.35">
      <c r="A46" s="271" t="s">
        <v>72</v>
      </c>
      <c r="B46" s="272"/>
      <c r="C46" s="205" t="s">
        <v>73</v>
      </c>
      <c r="D46" s="296">
        <f>D45/$B$45</f>
        <v>4.8491159999999998E-2</v>
      </c>
      <c r="E46" s="151"/>
      <c r="F46" s="297">
        <f>F45/$B$45</f>
        <v>5.1058920000000008E-2</v>
      </c>
      <c r="H46" s="198"/>
    </row>
    <row r="47" spans="1:13" ht="27" customHeight="1" x14ac:dyDescent="0.45">
      <c r="A47" s="273"/>
      <c r="B47" s="274"/>
      <c r="C47" s="205" t="s">
        <v>111</v>
      </c>
      <c r="D47" s="298">
        <v>0.05</v>
      </c>
      <c r="F47" s="153"/>
      <c r="H47" s="198"/>
    </row>
    <row r="48" spans="1:13" ht="18" x14ac:dyDescent="0.35">
      <c r="C48" s="205" t="s">
        <v>74</v>
      </c>
      <c r="D48" s="206">
        <f>D47*$B$45</f>
        <v>25</v>
      </c>
      <c r="F48" s="153"/>
      <c r="H48" s="198"/>
    </row>
    <row r="49" spans="1:11" ht="19.5" customHeight="1" x14ac:dyDescent="0.35">
      <c r="C49" s="208" t="s">
        <v>75</v>
      </c>
      <c r="D49" s="209">
        <f>D48/B34</f>
        <v>25</v>
      </c>
      <c r="F49" s="156"/>
      <c r="H49" s="198"/>
    </row>
    <row r="50" spans="1:11" ht="18" x14ac:dyDescent="0.35">
      <c r="C50" s="210" t="s">
        <v>76</v>
      </c>
      <c r="D50" s="211">
        <f>AVERAGE(E38:E41,G38:G41)</f>
        <v>14183141.105218329</v>
      </c>
      <c r="F50" s="156"/>
      <c r="H50" s="198"/>
    </row>
    <row r="51" spans="1:11" ht="18" x14ac:dyDescent="0.35">
      <c r="C51" s="152" t="s">
        <v>77</v>
      </c>
      <c r="D51" s="157">
        <f>STDEV(E38:E41,G38:G41)/D50</f>
        <v>2.425846066859097E-3</v>
      </c>
      <c r="F51" s="156"/>
    </row>
    <row r="52" spans="1:11" ht="19.5" customHeight="1" x14ac:dyDescent="0.35">
      <c r="C52" s="154" t="s">
        <v>15</v>
      </c>
      <c r="D52" s="158">
        <f>COUNT(E38:E41,G38:G41)</f>
        <v>6</v>
      </c>
      <c r="F52" s="156"/>
    </row>
    <row r="54" spans="1:11" ht="18" x14ac:dyDescent="0.35">
      <c r="A54" s="117" t="s">
        <v>1</v>
      </c>
      <c r="B54" s="159" t="s">
        <v>78</v>
      </c>
    </row>
    <row r="55" spans="1:11" ht="18" x14ac:dyDescent="0.35">
      <c r="A55" s="118" t="s">
        <v>79</v>
      </c>
      <c r="B55" s="121" t="str">
        <f>B21</f>
        <v>Each vial contains Omeprazole 40 mg(as lyophilised powder of Omeprazole Sodium BP)</v>
      </c>
    </row>
    <row r="56" spans="1:11" ht="26.25" customHeight="1" x14ac:dyDescent="0.45">
      <c r="A56" s="120" t="s">
        <v>112</v>
      </c>
      <c r="B56" s="218">
        <v>40</v>
      </c>
      <c r="C56" s="118" t="str">
        <f>B20</f>
        <v>OMEPRAZOLE BP</v>
      </c>
      <c r="H56" s="127"/>
    </row>
    <row r="57" spans="1:11" ht="18" x14ac:dyDescent="0.35">
      <c r="A57" s="121" t="s">
        <v>113</v>
      </c>
      <c r="B57" s="299">
        <v>159.83000000000001</v>
      </c>
      <c r="H57" s="127"/>
    </row>
    <row r="58" spans="1:11" ht="19.5" customHeight="1" x14ac:dyDescent="0.35">
      <c r="H58" s="127"/>
    </row>
    <row r="59" spans="1:11" s="11" customFormat="1" ht="27" customHeight="1" x14ac:dyDescent="0.45">
      <c r="A59" s="136" t="s">
        <v>114</v>
      </c>
      <c r="B59" s="221">
        <v>100</v>
      </c>
      <c r="C59" s="118"/>
      <c r="D59" s="161" t="s">
        <v>80</v>
      </c>
      <c r="E59" s="160" t="s">
        <v>81</v>
      </c>
      <c r="F59" s="160" t="s">
        <v>58</v>
      </c>
      <c r="G59" s="160" t="s">
        <v>82</v>
      </c>
      <c r="H59" s="139" t="s">
        <v>83</v>
      </c>
      <c r="K59" s="128"/>
    </row>
    <row r="60" spans="1:11" s="11" customFormat="1" ht="22.5" customHeight="1" x14ac:dyDescent="0.45">
      <c r="A60" s="137" t="s">
        <v>84</v>
      </c>
      <c r="B60" s="222">
        <v>5</v>
      </c>
      <c r="C60" s="263" t="s">
        <v>85</v>
      </c>
      <c r="D60" s="267">
        <v>194.66</v>
      </c>
      <c r="E60" s="162">
        <v>1</v>
      </c>
      <c r="F60" s="229">
        <v>17935392</v>
      </c>
      <c r="G60" s="173">
        <f>IF(ISBLANK(F60),"-",(F60/$D$50*$D$47*$B$68)*($B$57/$D$60))</f>
        <v>51.914662415725019</v>
      </c>
      <c r="H60" s="175">
        <f>IF(ISBLANK(F60),"-",G60/$B$56)</f>
        <v>1.2978665603931254</v>
      </c>
      <c r="K60" s="128"/>
    </row>
    <row r="61" spans="1:11" s="11" customFormat="1" ht="26.25" customHeight="1" x14ac:dyDescent="0.45">
      <c r="A61" s="137" t="s">
        <v>86</v>
      </c>
      <c r="B61" s="222">
        <v>50</v>
      </c>
      <c r="C61" s="264"/>
      <c r="D61" s="268"/>
      <c r="E61" s="163">
        <v>2</v>
      </c>
      <c r="F61" s="224">
        <v>17873972</v>
      </c>
      <c r="G61" s="174">
        <f>IF(ISBLANK(F61),"-",(F61/$D$50*$D$47*$B$68)*($B$57/$D$60))</f>
        <v>51.736879930370151</v>
      </c>
      <c r="H61" s="176">
        <f t="shared" ref="H61:H71" si="0">IF(ISBLANK(F61),"-",G61/$B$56)</f>
        <v>1.2934219982592539</v>
      </c>
      <c r="K61" s="128"/>
    </row>
    <row r="62" spans="1:11" s="11" customFormat="1" ht="26.25" customHeight="1" x14ac:dyDescent="0.45">
      <c r="A62" s="137" t="s">
        <v>87</v>
      </c>
      <c r="B62" s="222">
        <v>1</v>
      </c>
      <c r="C62" s="264"/>
      <c r="D62" s="268"/>
      <c r="E62" s="163">
        <v>3</v>
      </c>
      <c r="F62" s="224">
        <v>17830415</v>
      </c>
      <c r="G62" s="174">
        <f>IF(ISBLANK(F62),"-",(F62/$D$50*$D$47*$B$68)*($B$57/$D$60))</f>
        <v>51.610802566081617</v>
      </c>
      <c r="H62" s="176">
        <f t="shared" si="0"/>
        <v>1.2902700641520404</v>
      </c>
      <c r="K62" s="128"/>
    </row>
    <row r="63" spans="1:11" ht="21" customHeight="1" x14ac:dyDescent="0.45">
      <c r="A63" s="137" t="s">
        <v>88</v>
      </c>
      <c r="B63" s="222">
        <v>1</v>
      </c>
      <c r="C63" s="265"/>
      <c r="D63" s="269"/>
      <c r="E63" s="164">
        <v>4</v>
      </c>
      <c r="F63" s="230"/>
      <c r="G63" s="174" t="str">
        <f>IF(ISBLANK(F63),"-",(F63/$D$50*$D$47*$B$68)*($B$57/$D$60))</f>
        <v>-</v>
      </c>
      <c r="H63" s="176" t="str">
        <f t="shared" si="0"/>
        <v>-</v>
      </c>
    </row>
    <row r="64" spans="1:11" ht="26.25" customHeight="1" x14ac:dyDescent="0.45">
      <c r="A64" s="137" t="s">
        <v>89</v>
      </c>
      <c r="B64" s="222">
        <v>1</v>
      </c>
      <c r="C64" s="263" t="s">
        <v>90</v>
      </c>
      <c r="D64" s="267">
        <v>200.39</v>
      </c>
      <c r="E64" s="162">
        <v>1</v>
      </c>
      <c r="F64" s="229">
        <v>18461440</v>
      </c>
      <c r="G64" s="195">
        <f>IF(ISBLANK(F64),"-",(F64/$D$50*$D$47*$B$68)*($B$57/$D$64))</f>
        <v>51.909328163095857</v>
      </c>
      <c r="H64" s="192">
        <f>IF(ISBLANK(F64),"-",G64/$B$56)</f>
        <v>1.2977332040773963</v>
      </c>
    </row>
    <row r="65" spans="1:8" ht="26.25" customHeight="1" x14ac:dyDescent="0.45">
      <c r="A65" s="137" t="s">
        <v>91</v>
      </c>
      <c r="B65" s="222">
        <v>1</v>
      </c>
      <c r="C65" s="264"/>
      <c r="D65" s="268"/>
      <c r="E65" s="163">
        <v>2</v>
      </c>
      <c r="F65" s="224">
        <v>18505780</v>
      </c>
      <c r="G65" s="196">
        <f>IF(ISBLANK(F65),"-",(F65/$D$50*$D$47*$B$68)*($B$57/$D$64))</f>
        <v>52.034002056939009</v>
      </c>
      <c r="H65" s="193">
        <f t="shared" si="0"/>
        <v>1.3008500514234753</v>
      </c>
    </row>
    <row r="66" spans="1:8" ht="26.25" customHeight="1" x14ac:dyDescent="0.45">
      <c r="A66" s="137" t="s">
        <v>92</v>
      </c>
      <c r="B66" s="222">
        <v>1</v>
      </c>
      <c r="C66" s="264"/>
      <c r="D66" s="268"/>
      <c r="E66" s="163">
        <v>3</v>
      </c>
      <c r="F66" s="224">
        <v>18459250</v>
      </c>
      <c r="G66" s="196">
        <f>IF(ISBLANK(F66),"-",(F66/$D$50*$D$47*$B$68)*($B$57/$D$64))</f>
        <v>51.903170386201033</v>
      </c>
      <c r="H66" s="193">
        <f t="shared" si="0"/>
        <v>1.2975792596550257</v>
      </c>
    </row>
    <row r="67" spans="1:8" ht="21" customHeight="1" x14ac:dyDescent="0.45">
      <c r="A67" s="137" t="s">
        <v>93</v>
      </c>
      <c r="B67" s="222">
        <v>1</v>
      </c>
      <c r="C67" s="265"/>
      <c r="D67" s="269"/>
      <c r="E67" s="164">
        <v>4</v>
      </c>
      <c r="F67" s="230"/>
      <c r="G67" s="197" t="str">
        <f>IF(ISBLANK(F67),"-",(F67/$D$50*$D$47*$B$68)*($B$57/$D$64))</f>
        <v>-</v>
      </c>
      <c r="H67" s="194" t="str">
        <f t="shared" si="0"/>
        <v>-</v>
      </c>
    </row>
    <row r="68" spans="1:8" ht="21.75" customHeight="1" x14ac:dyDescent="0.45">
      <c r="A68" s="137" t="s">
        <v>94</v>
      </c>
      <c r="B68" s="200">
        <f>(B67/B66)*(B65/B64)*(B63/B62)*(B61/B60)*B59</f>
        <v>1000</v>
      </c>
      <c r="C68" s="263" t="s">
        <v>95</v>
      </c>
      <c r="D68" s="267">
        <v>203.56</v>
      </c>
      <c r="E68" s="162">
        <v>1</v>
      </c>
      <c r="F68" s="229">
        <v>18756101</v>
      </c>
      <c r="G68" s="195">
        <f>IF(ISBLANK(F68),"-",(F68/$D$50*$D$47*$B$68)*($B$57/$D$68))</f>
        <v>51.916571040621456</v>
      </c>
      <c r="H68" s="176">
        <f>IF(ISBLANK(F68),"-",G68/$B$56)</f>
        <v>1.2979142760155364</v>
      </c>
    </row>
    <row r="69" spans="1:8" ht="21.75" customHeight="1" x14ac:dyDescent="0.5">
      <c r="A69" s="212" t="s">
        <v>96</v>
      </c>
      <c r="B69" s="228">
        <f>D47*B68/B56*B57</f>
        <v>199.78750000000002</v>
      </c>
      <c r="C69" s="264"/>
      <c r="D69" s="268"/>
      <c r="E69" s="163">
        <v>2</v>
      </c>
      <c r="F69" s="224">
        <v>18773918</v>
      </c>
      <c r="G69" s="196">
        <f>IF(ISBLANK(F69),"-",(F69/$D$50*$D$47*$B$68)*($B$57/$D$68))</f>
        <v>51.96588819594232</v>
      </c>
      <c r="H69" s="176">
        <f t="shared" si="0"/>
        <v>1.299147204898558</v>
      </c>
    </row>
    <row r="70" spans="1:8" ht="22.5" customHeight="1" x14ac:dyDescent="0.45">
      <c r="A70" s="275" t="s">
        <v>72</v>
      </c>
      <c r="B70" s="276"/>
      <c r="C70" s="264"/>
      <c r="D70" s="268"/>
      <c r="E70" s="163">
        <v>3</v>
      </c>
      <c r="F70" s="224">
        <v>18713428</v>
      </c>
      <c r="G70" s="196">
        <f>IF(ISBLANK(F70),"-",(F70/$D$50*$D$47*$B$68)*($B$57/$D$68))</f>
        <v>51.798452896769682</v>
      </c>
      <c r="H70" s="176">
        <f t="shared" si="0"/>
        <v>1.294961322419242</v>
      </c>
    </row>
    <row r="71" spans="1:8" ht="21.75" customHeight="1" x14ac:dyDescent="0.45">
      <c r="A71" s="277"/>
      <c r="B71" s="278"/>
      <c r="C71" s="266"/>
      <c r="D71" s="269"/>
      <c r="E71" s="164">
        <v>4</v>
      </c>
      <c r="F71" s="230"/>
      <c r="G71" s="197" t="str">
        <f>IF(ISBLANK(F71),"-",(F71/$D$50*$D$47*$B$68)*($B$57/$D$68))</f>
        <v>-</v>
      </c>
      <c r="H71" s="177" t="str">
        <f t="shared" si="0"/>
        <v>-</v>
      </c>
    </row>
    <row r="72" spans="1:8" ht="26.25" customHeight="1" x14ac:dyDescent="0.45">
      <c r="A72" s="165"/>
      <c r="B72" s="165"/>
      <c r="C72" s="165"/>
      <c r="D72" s="165"/>
      <c r="E72" s="165"/>
      <c r="F72" s="166"/>
      <c r="G72" s="155" t="s">
        <v>65</v>
      </c>
      <c r="H72" s="231">
        <f>AVERAGE(H60:H71)</f>
        <v>1.2966382156992948</v>
      </c>
    </row>
    <row r="73" spans="1:8" ht="26.25" customHeight="1" x14ac:dyDescent="0.45">
      <c r="C73" s="165"/>
      <c r="D73" s="165"/>
      <c r="E73" s="165"/>
      <c r="F73" s="166"/>
      <c r="G73" s="152" t="s">
        <v>77</v>
      </c>
      <c r="H73" s="232">
        <f>STDEV(H60:H71)/H72</f>
        <v>2.4836217566749402E-3</v>
      </c>
    </row>
    <row r="74" spans="1:8" ht="27" customHeight="1" x14ac:dyDescent="0.45">
      <c r="A74" s="165"/>
      <c r="B74" s="165"/>
      <c r="C74" s="166"/>
      <c r="D74" s="166"/>
      <c r="E74" s="167"/>
      <c r="F74" s="166"/>
      <c r="G74" s="154" t="s">
        <v>15</v>
      </c>
      <c r="H74" s="233">
        <f>COUNT(H60:H71)</f>
        <v>9</v>
      </c>
    </row>
    <row r="75" spans="1:8" ht="18" x14ac:dyDescent="0.35">
      <c r="A75" s="165"/>
      <c r="B75" s="165"/>
      <c r="C75" s="166"/>
      <c r="D75" s="166"/>
      <c r="E75" s="167"/>
      <c r="F75" s="166"/>
      <c r="G75" s="170"/>
      <c r="H75" s="201"/>
    </row>
    <row r="76" spans="1:8" ht="18" x14ac:dyDescent="0.35">
      <c r="A76" s="124" t="s">
        <v>97</v>
      </c>
      <c r="B76" s="215" t="s">
        <v>98</v>
      </c>
      <c r="C76" s="279" t="str">
        <f>B20</f>
        <v>OMEPRAZOLE BP</v>
      </c>
      <c r="D76" s="279"/>
      <c r="E76" s="216" t="s">
        <v>99</v>
      </c>
      <c r="F76" s="216"/>
      <c r="G76" s="217">
        <f>H72</f>
        <v>1.2966382156992948</v>
      </c>
      <c r="H76" s="201"/>
    </row>
    <row r="77" spans="1:8" ht="18" x14ac:dyDescent="0.35">
      <c r="B77" s="254" t="s">
        <v>21</v>
      </c>
      <c r="C77" s="254"/>
      <c r="E77" s="171" t="s">
        <v>22</v>
      </c>
      <c r="F77" s="190"/>
      <c r="G77" s="254" t="s">
        <v>23</v>
      </c>
      <c r="H77" s="254"/>
    </row>
    <row r="78" spans="1:8" ht="83.1" customHeight="1" x14ac:dyDescent="0.35">
      <c r="A78" s="191" t="s">
        <v>24</v>
      </c>
      <c r="B78" s="213" t="s">
        <v>101</v>
      </c>
      <c r="C78" s="213"/>
      <c r="E78" s="186"/>
      <c r="F78" s="168"/>
      <c r="G78" s="188"/>
      <c r="H78" s="188"/>
    </row>
    <row r="79" spans="1:8" ht="83.1" customHeight="1" x14ac:dyDescent="0.35">
      <c r="A79" s="191" t="s">
        <v>25</v>
      </c>
      <c r="B79" s="214"/>
      <c r="C79" s="214"/>
      <c r="E79" s="187"/>
      <c r="F79" s="168"/>
      <c r="G79" s="189"/>
      <c r="H79" s="189"/>
    </row>
    <row r="80" spans="1:8" ht="18" x14ac:dyDescent="0.35">
      <c r="A80" s="165"/>
      <c r="B80" s="165"/>
      <c r="C80" s="166"/>
      <c r="D80" s="166"/>
      <c r="E80" s="166"/>
      <c r="F80" s="167"/>
      <c r="G80" s="166"/>
      <c r="H80" s="166"/>
    </row>
    <row r="81" spans="1:8" ht="18" x14ac:dyDescent="0.35">
      <c r="A81" s="165"/>
      <c r="B81" s="165"/>
      <c r="C81" s="166"/>
      <c r="D81" s="166"/>
      <c r="E81" s="166"/>
      <c r="F81" s="167"/>
      <c r="G81" s="166"/>
      <c r="H81" s="166"/>
    </row>
    <row r="82" spans="1:8" ht="18" x14ac:dyDescent="0.35">
      <c r="A82" s="165"/>
      <c r="B82" s="165"/>
      <c r="C82" s="166"/>
      <c r="D82" s="166"/>
      <c r="E82" s="166"/>
      <c r="F82" s="167"/>
      <c r="G82" s="166"/>
      <c r="H82" s="166"/>
    </row>
    <row r="83" spans="1:8" ht="18" x14ac:dyDescent="0.35">
      <c r="A83" s="165"/>
      <c r="B83" s="165"/>
      <c r="C83" s="166"/>
      <c r="D83" s="166"/>
      <c r="E83" s="166"/>
      <c r="F83" s="167"/>
      <c r="G83" s="166"/>
      <c r="H83" s="166"/>
    </row>
    <row r="84" spans="1:8" ht="18" x14ac:dyDescent="0.35">
      <c r="A84" s="165"/>
      <c r="B84" s="165"/>
      <c r="C84" s="166"/>
      <c r="D84" s="166"/>
      <c r="E84" s="166"/>
      <c r="F84" s="167"/>
      <c r="G84" s="166"/>
      <c r="H84" s="166"/>
    </row>
    <row r="85" spans="1:8" ht="18" x14ac:dyDescent="0.35">
      <c r="A85" s="165"/>
      <c r="B85" s="165"/>
      <c r="C85" s="166"/>
      <c r="D85" s="166"/>
      <c r="E85" s="166"/>
      <c r="F85" s="167"/>
      <c r="G85" s="166"/>
      <c r="H85" s="166"/>
    </row>
    <row r="86" spans="1:8" ht="18" x14ac:dyDescent="0.35">
      <c r="A86" s="165"/>
      <c r="B86" s="165"/>
      <c r="C86" s="166"/>
      <c r="D86" s="166"/>
      <c r="E86" s="166"/>
      <c r="F86" s="167"/>
      <c r="G86" s="166"/>
      <c r="H86" s="166"/>
    </row>
    <row r="87" spans="1:8" ht="18" x14ac:dyDescent="0.35">
      <c r="A87" s="165"/>
      <c r="B87" s="165"/>
      <c r="C87" s="166"/>
      <c r="D87" s="166"/>
      <c r="E87" s="166"/>
      <c r="F87" s="167"/>
      <c r="G87" s="166"/>
      <c r="H87" s="166"/>
    </row>
    <row r="88" spans="1:8" ht="18" x14ac:dyDescent="0.35">
      <c r="A88" s="165"/>
      <c r="B88" s="165"/>
      <c r="C88" s="166"/>
      <c r="D88" s="166"/>
      <c r="E88" s="166"/>
      <c r="F88" s="167"/>
      <c r="G88" s="166"/>
      <c r="H88" s="166"/>
    </row>
    <row r="187" spans="1:1" x14ac:dyDescent="0.3">
      <c r="A187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6:H16"/>
    <mergeCell ref="B26:C26"/>
    <mergeCell ref="B18:C18"/>
    <mergeCell ref="B77:C77"/>
    <mergeCell ref="G77:H77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46:B47"/>
    <mergeCell ref="A70:B71"/>
    <mergeCell ref="C76:D76"/>
  </mergeCells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Omeprazole</vt:lpstr>
      <vt:lpstr>Omeprazole!Print_Area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2015-11-03T09:47:45Z</cp:lastPrinted>
  <dcterms:created xsi:type="dcterms:W3CDTF">2005-07-05T10:19:27Z</dcterms:created>
  <dcterms:modified xsi:type="dcterms:W3CDTF">2015-11-09T12:18:12Z</dcterms:modified>
</cp:coreProperties>
</file>