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20775" windowHeight="10935" activeTab="2"/>
  </bookViews>
  <sheets>
    <sheet name="Sheet1" sheetId="1" r:id="rId1"/>
    <sheet name="Uniformity" sheetId="2" r:id="rId2"/>
    <sheet name="AI_Ceftriaxone" sheetId="3" r:id="rId3"/>
    <sheet name="Sheet2" sheetId="4" r:id="rId4"/>
  </sheets>
  <definedNames>
    <definedName name="_xlnm.Print_Area" localSheetId="2">AI_Ceftriaxone!$A$1:$H$79</definedName>
  </definedNames>
  <calcPr calcId="145621"/>
</workbook>
</file>

<file path=xl/calcChain.xml><?xml version="1.0" encoding="utf-8"?>
<calcChain xmlns="http://schemas.openxmlformats.org/spreadsheetml/2006/main">
  <c r="G29" i="4" l="1"/>
  <c r="G28" i="4"/>
  <c r="H70" i="3"/>
  <c r="G70" i="3"/>
  <c r="B67" i="3"/>
  <c r="B68" i="3" s="1"/>
  <c r="H66" i="3"/>
  <c r="G66" i="3"/>
  <c r="H62" i="3"/>
  <c r="G62" i="3"/>
  <c r="D48" i="3"/>
  <c r="B45" i="3"/>
  <c r="F42" i="3"/>
  <c r="D42" i="3"/>
  <c r="G41" i="3"/>
  <c r="E41" i="3"/>
  <c r="B34" i="3"/>
  <c r="D44" i="3" s="1"/>
  <c r="B30" i="3"/>
  <c r="A26" i="2"/>
  <c r="A25" i="2"/>
  <c r="B24" i="2"/>
  <c r="B25" i="2" s="1"/>
  <c r="A24" i="2"/>
  <c r="B23" i="2"/>
  <c r="A23" i="2"/>
  <c r="C21" i="2"/>
  <c r="D21" i="2" s="1"/>
  <c r="C20" i="2"/>
  <c r="C19" i="2"/>
  <c r="C18" i="2"/>
  <c r="C17" i="2"/>
  <c r="D17" i="2" s="1"/>
  <c r="C16" i="2"/>
  <c r="C15" i="2"/>
  <c r="C14" i="2"/>
  <c r="C13" i="2"/>
  <c r="D13" i="2" s="1"/>
  <c r="C12" i="2"/>
  <c r="C11" i="2"/>
  <c r="C10" i="2"/>
  <c r="C9" i="2"/>
  <c r="D9" i="2" s="1"/>
  <c r="C8" i="2"/>
  <c r="C7" i="2"/>
  <c r="C6" i="2"/>
  <c r="C5" i="2"/>
  <c r="D5" i="2" s="1"/>
  <c r="C4" i="2"/>
  <c r="C3" i="2"/>
  <c r="C2" i="2"/>
  <c r="C24" i="2" s="1"/>
  <c r="D45" i="3" l="1"/>
  <c r="D46" i="3" s="1"/>
  <c r="D10" i="2"/>
  <c r="D4" i="2"/>
  <c r="C25" i="2"/>
  <c r="C26" i="2"/>
  <c r="D20" i="2"/>
  <c r="D18" i="2"/>
  <c r="D16" i="2"/>
  <c r="D14" i="2"/>
  <c r="D12" i="2"/>
  <c r="D8" i="2"/>
  <c r="D6" i="2"/>
  <c r="D3" i="2"/>
  <c r="D7" i="2"/>
  <c r="D11" i="2"/>
  <c r="D15" i="2"/>
  <c r="D19" i="2"/>
  <c r="E39" i="3"/>
  <c r="C23" i="2"/>
  <c r="B26" i="2"/>
  <c r="E38" i="3"/>
  <c r="E40" i="3"/>
  <c r="D49" i="3"/>
  <c r="G38" i="3"/>
  <c r="F44" i="3"/>
  <c r="F45" i="3" s="1"/>
  <c r="D2" i="2"/>
  <c r="G39" i="3" l="1"/>
  <c r="F46" i="3"/>
  <c r="G40" i="3"/>
  <c r="E42" i="3"/>
  <c r="D52" i="3"/>
  <c r="G42" i="3" l="1"/>
  <c r="D50" i="3"/>
  <c r="G69" i="3" l="1"/>
  <c r="H69" i="3" s="1"/>
  <c r="G64" i="3"/>
  <c r="H64" i="3" s="1"/>
  <c r="G60" i="3"/>
  <c r="H60" i="3" s="1"/>
  <c r="D51" i="3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H71" i="3" l="1"/>
  <c r="H72" i="3" s="1"/>
  <c r="H73" i="3"/>
</calcChain>
</file>

<file path=xl/sharedStrings.xml><?xml version="1.0" encoding="utf-8"?>
<sst xmlns="http://schemas.openxmlformats.org/spreadsheetml/2006/main" count="94" uniqueCount="85">
  <si>
    <t>Intact Capsule</t>
  </si>
  <si>
    <t>Empty Shell</t>
  </si>
  <si>
    <t>Capsule Content</t>
  </si>
  <si>
    <t>Analysis Report</t>
  </si>
  <si>
    <t>Sample Name:</t>
  </si>
  <si>
    <t>Cetriaxone Sandoz 1g</t>
  </si>
  <si>
    <t>Laboratory Ref No:</t>
  </si>
  <si>
    <t>NDQD201406540</t>
  </si>
  <si>
    <t>Active Ingredient:</t>
  </si>
  <si>
    <t>Ceftriaxone 1G (As Ceftriaxone Sodium)</t>
  </si>
  <si>
    <t>Label Claim:</t>
  </si>
  <si>
    <t>Each vials contains Ceftriaxone 1g (as ceftriaxone sodium)</t>
  </si>
  <si>
    <t>Date Analysis Started:</t>
  </si>
  <si>
    <t>2014-08-06 08:52:58</t>
  </si>
  <si>
    <t>Date Analysis Completed:</t>
  </si>
  <si>
    <t>Analysis Data</t>
  </si>
  <si>
    <t>Reference Substance:</t>
  </si>
  <si>
    <t>Ceftriazone Sodium</t>
  </si>
  <si>
    <t>Code:</t>
  </si>
  <si>
    <t>NQCL-PRS-C2-1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</si>
  <si>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</si>
  <si>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</si>
  <si>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</si>
  <si>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</si>
  <si>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</si>
  <si>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</si>
  <si>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</si>
  <si>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</si>
  <si>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</si>
  <si>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</si>
  <si>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</si>
  <si>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</si>
  <si>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</si>
  <si>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</si>
  <si>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</si>
  <si>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</si>
  <si>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</si>
  <si>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</si>
  <si>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</si>
  <si>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</si>
  <si>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</si>
  <si>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</si>
  <si>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</si>
  <si>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</si>
  <si>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</si>
  <si>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</si>
  <si>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</si>
  <si>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</si>
  <si>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</si>
  <si>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</si>
  <si>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</si>
  <si>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</si>
  <si>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</si>
  <si>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</si>
  <si>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</si>
  <si>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</si>
  <si>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</si>
  <si>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</si>
  <si>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</si>
  <si>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Ceftriaxone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</si>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</sst>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000"/>
    <numFmt numFmtId="166" formatCode="0.0%"/>
    <numFmt numFmtId="167" formatCode="0.000"/>
    <numFmt numFmtId="168" formatCode="0.0000\ &quot;mg&quot;"/>
    <numFmt numFmtId="169" formatCode="0.0\ &quot;mL&quot;"/>
    <numFmt numFmtId="170" formatCode="0\ &quot;iu&quot;"/>
    <numFmt numFmtId="171" formatCode="dd\-mmm\-yyyy"/>
  </numFmts>
  <fonts count="13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2"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 wrapText="1"/>
      <protection locked="0"/>
    </xf>
    <xf numFmtId="2" fontId="1" fillId="2" borderId="0" xfId="0" applyNumberFormat="1" applyFont="1" applyFill="1" applyAlignment="1">
      <alignment horizontal="center" wrapText="1"/>
    </xf>
    <xf numFmtId="10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167" fontId="4" fillId="2" borderId="3" xfId="0" applyNumberFormat="1" applyFont="1" applyFill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7" fontId="4" fillId="2" borderId="5" xfId="0" applyNumberFormat="1" applyFont="1" applyFill="1" applyBorder="1" applyAlignment="1">
      <alignment horizontal="center"/>
    </xf>
    <xf numFmtId="167" fontId="5" fillId="4" borderId="6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67" fontId="4" fillId="2" borderId="8" xfId="0" applyNumberFormat="1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4" fillId="2" borderId="10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2" fontId="4" fillId="4" borderId="12" xfId="0" applyNumberFormat="1" applyFont="1" applyFill="1" applyBorder="1" applyAlignment="1">
      <alignment horizontal="center"/>
    </xf>
    <xf numFmtId="167" fontId="5" fillId="5" borderId="13" xfId="0" applyNumberFormat="1" applyFont="1" applyFill="1" applyBorder="1" applyAlignment="1">
      <alignment horizontal="center"/>
    </xf>
    <xf numFmtId="10" fontId="4" fillId="4" borderId="1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8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1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0" fontId="4" fillId="2" borderId="16" xfId="0" applyNumberFormat="1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 vertical="center"/>
    </xf>
    <xf numFmtId="10" fontId="4" fillId="2" borderId="18" xfId="0" applyNumberFormat="1" applyFont="1" applyFill="1" applyBorder="1" applyAlignment="1">
      <alignment horizontal="center" vertical="center"/>
    </xf>
    <xf numFmtId="10" fontId="5" fillId="4" borderId="19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2" borderId="21" xfId="0" applyFont="1" applyFill="1" applyBorder="1"/>
    <xf numFmtId="0" fontId="10" fillId="2" borderId="21" xfId="0" applyFont="1" applyFill="1" applyBorder="1" applyAlignment="1">
      <alignment horizontal="right" vertical="center" wrapText="1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0" fontId="4" fillId="3" borderId="22" xfId="0" applyFont="1" applyFill="1" applyBorder="1" applyAlignment="1" applyProtection="1">
      <alignment horizontal="center"/>
      <protection locked="0"/>
    </xf>
    <xf numFmtId="0" fontId="4" fillId="3" borderId="23" xfId="0" applyFont="1" applyFill="1" applyBorder="1" applyAlignment="1" applyProtection="1">
      <alignment horizontal="center"/>
      <protection locked="0"/>
    </xf>
    <xf numFmtId="169" fontId="5" fillId="3" borderId="0" xfId="0" applyNumberFormat="1" applyFont="1" applyFill="1" applyAlignment="1" applyProtection="1">
      <alignment horizontal="center"/>
      <protection locked="0"/>
    </xf>
    <xf numFmtId="170" fontId="5" fillId="3" borderId="0" xfId="0" applyNumberFormat="1" applyFont="1" applyFill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3" borderId="17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alignment horizontal="center"/>
      <protection locked="0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3" borderId="0" xfId="0" applyFont="1" applyFill="1" applyAlignment="1" applyProtection="1">
      <alignment horizontal="left"/>
      <protection locked="0"/>
    </xf>
    <xf numFmtId="171" fontId="4" fillId="3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15" fontId="4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right"/>
    </xf>
    <xf numFmtId="2" fontId="5" fillId="2" borderId="1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3" borderId="22" xfId="0" applyFont="1" applyFill="1" applyBorder="1" applyAlignment="1" applyProtection="1">
      <alignment horizontal="center"/>
      <protection locked="0"/>
    </xf>
    <xf numFmtId="0" fontId="5" fillId="3" borderId="23" xfId="0" applyFont="1" applyFill="1" applyBorder="1" applyAlignment="1" applyProtection="1">
      <alignment horizontal="center"/>
      <protection locked="0"/>
    </xf>
    <xf numFmtId="0" fontId="5" fillId="3" borderId="27" xfId="0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5" fillId="3" borderId="29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30" xfId="0" applyFont="1" applyFill="1" applyBorder="1" applyAlignment="1" applyProtection="1">
      <alignment horizontal="center"/>
      <protection locked="0"/>
    </xf>
    <xf numFmtId="2" fontId="4" fillId="2" borderId="31" xfId="0" applyNumberFormat="1" applyFont="1" applyFill="1" applyBorder="1" applyAlignment="1">
      <alignment horizontal="center"/>
    </xf>
    <xf numFmtId="10" fontId="5" fillId="5" borderId="25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/>
    <xf numFmtId="0" fontId="5" fillId="2" borderId="2" xfId="0" applyFont="1" applyFill="1" applyBorder="1" applyProtection="1">
      <protection locked="0"/>
    </xf>
    <xf numFmtId="0" fontId="4" fillId="2" borderId="2" xfId="0" applyFont="1" applyFill="1" applyBorder="1"/>
    <xf numFmtId="0" fontId="4" fillId="2" borderId="31" xfId="0" applyFont="1" applyFill="1" applyBorder="1" applyAlignment="1">
      <alignment horizontal="right"/>
    </xf>
    <xf numFmtId="0" fontId="4" fillId="2" borderId="32" xfId="0" applyFont="1" applyFill="1" applyBorder="1" applyAlignment="1">
      <alignment horizontal="center"/>
    </xf>
    <xf numFmtId="1" fontId="5" fillId="4" borderId="33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0" fontId="5" fillId="3" borderId="35" xfId="0" applyFont="1" applyFill="1" applyBorder="1" applyAlignment="1" applyProtection="1">
      <alignment horizontal="center"/>
      <protection locked="0"/>
    </xf>
    <xf numFmtId="0" fontId="4" fillId="2" borderId="26" xfId="0" applyFont="1" applyFill="1" applyBorder="1" applyAlignment="1">
      <alignment horizontal="right"/>
    </xf>
    <xf numFmtId="2" fontId="4" fillId="4" borderId="36" xfId="0" applyNumberFormat="1" applyFont="1" applyFill="1" applyBorder="1" applyAlignment="1">
      <alignment horizontal="center"/>
    </xf>
    <xf numFmtId="2" fontId="4" fillId="5" borderId="36" xfId="0" applyNumberFormat="1" applyFont="1" applyFill="1" applyBorder="1" applyAlignment="1">
      <alignment horizontal="center"/>
    </xf>
    <xf numFmtId="0" fontId="5" fillId="3" borderId="3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2" fontId="4" fillId="4" borderId="3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0" fillId="2" borderId="14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5" fillId="2" borderId="4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2" fontId="4" fillId="3" borderId="16" xfId="0" applyNumberFormat="1" applyFont="1" applyFill="1" applyBorder="1" applyAlignment="1" applyProtection="1">
      <alignment horizontal="center" vertical="center"/>
      <protection locked="0"/>
    </xf>
    <xf numFmtId="2" fontId="4" fillId="3" borderId="17" xfId="0" applyNumberFormat="1" applyFont="1" applyFill="1" applyBorder="1" applyAlignment="1" applyProtection="1">
      <alignment horizontal="center" vertical="center"/>
      <protection locked="0"/>
    </xf>
    <xf numFmtId="2" fontId="4" fillId="3" borderId="18" xfId="0" applyNumberFormat="1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>
      <alignment horizontal="left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10" fillId="2" borderId="38" xfId="0" applyFont="1" applyFill="1" applyBorder="1" applyAlignment="1">
      <alignment horizontal="justify" vertical="center" wrapText="1"/>
    </xf>
    <xf numFmtId="0" fontId="10" fillId="2" borderId="39" xfId="0" applyFont="1" applyFill="1" applyBorder="1" applyAlignment="1">
      <alignment horizontal="justify" vertical="center" wrapText="1"/>
    </xf>
    <xf numFmtId="0" fontId="10" fillId="2" borderId="40" xfId="0" applyFont="1" applyFill="1" applyBorder="1" applyAlignment="1">
      <alignment horizontal="justify" vertical="center" wrapText="1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3.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6" ht="15.75" customHeight="1" x14ac:dyDescent="0.25">
      <c r="A2" s="15">
        <v>20363.400000000001</v>
      </c>
      <c r="B2" s="16">
        <v>19137.14</v>
      </c>
      <c r="C2" s="5">
        <f t="shared" ref="C2:C21" si="0">A2-B2</f>
        <v>1226.260000000002</v>
      </c>
      <c r="D2" s="6">
        <f t="shared" ref="D2:D21" si="1">(C2-$C$24)/$C$24</f>
        <v>1.2597811402771884E-2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6" ht="15.75" customHeight="1" x14ac:dyDescent="0.25">
      <c r="A3" s="15">
        <v>20473.21</v>
      </c>
      <c r="B3" s="16">
        <v>19246.16</v>
      </c>
      <c r="C3" s="5">
        <f t="shared" si="0"/>
        <v>1227.0499999999993</v>
      </c>
      <c r="D3" s="6">
        <f t="shared" si="1"/>
        <v>1.3250162674937158E-2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6" ht="15.75" customHeight="1" x14ac:dyDescent="0.25">
      <c r="A4" s="15">
        <v>20478.36</v>
      </c>
      <c r="B4" s="16">
        <v>19278.66</v>
      </c>
      <c r="C4" s="5">
        <f t="shared" si="0"/>
        <v>1199.7000000000007</v>
      </c>
      <c r="D4" s="6">
        <f t="shared" si="1"/>
        <v>-9.334403519723266E-3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6" ht="15.75" customHeight="1" x14ac:dyDescent="0.25">
      <c r="A5" s="15">
        <v>20566.29</v>
      </c>
      <c r="B5" s="16">
        <v>19387.34</v>
      </c>
      <c r="C5" s="5">
        <f t="shared" si="0"/>
        <v>1178.9500000000007</v>
      </c>
      <c r="D5" s="6">
        <f t="shared" si="1"/>
        <v>-2.6468946427921757E-2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6" ht="15.75" customHeight="1" x14ac:dyDescent="0.25">
      <c r="A6" s="15">
        <v>20563.759999999998</v>
      </c>
      <c r="B6" s="16">
        <v>19330.650000000001</v>
      </c>
      <c r="C6" s="5">
        <f t="shared" si="0"/>
        <v>1233.1099999999969</v>
      </c>
      <c r="D6" s="6">
        <f t="shared" si="1"/>
        <v>1.8254274965233203E-2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6" ht="15.75" customHeight="1" x14ac:dyDescent="0.25">
      <c r="A7" s="15">
        <v>20464.650000000001</v>
      </c>
      <c r="B7" s="16">
        <v>19284</v>
      </c>
      <c r="C7" s="5">
        <f t="shared" si="0"/>
        <v>1180.6500000000015</v>
      </c>
      <c r="D7" s="6">
        <f t="shared" si="1"/>
        <v>-2.5065152551104895E-2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6" ht="15.75" customHeight="1" x14ac:dyDescent="0.25">
      <c r="A8" s="15">
        <v>20018.810000000001</v>
      </c>
      <c r="B8" s="16">
        <v>18801.25</v>
      </c>
      <c r="C8" s="5">
        <f t="shared" si="0"/>
        <v>1217.5600000000013</v>
      </c>
      <c r="D8" s="6">
        <f t="shared" si="1"/>
        <v>5.4136897978880614E-3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6" ht="15.75" customHeight="1" x14ac:dyDescent="0.25">
      <c r="A9" s="15">
        <v>21013.25</v>
      </c>
      <c r="B9" s="16">
        <v>19771.47</v>
      </c>
      <c r="C9" s="5">
        <f t="shared" si="0"/>
        <v>1241.7799999999988</v>
      </c>
      <c r="D9" s="6">
        <f t="shared" si="1"/>
        <v>2.5413623736997702E-2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6" ht="15.75" customHeight="1" x14ac:dyDescent="0.25">
      <c r="A10" s="15">
        <v>20362.259999999998</v>
      </c>
      <c r="B10" s="16">
        <v>19133.52</v>
      </c>
      <c r="C10" s="5">
        <f t="shared" si="0"/>
        <v>1228.739999999998</v>
      </c>
      <c r="D10" s="6">
        <f t="shared" si="1"/>
        <v>1.4645698940712243E-2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6" ht="15.75" customHeight="1" x14ac:dyDescent="0.25">
      <c r="A11" s="18">
        <v>20351.349999999999</v>
      </c>
      <c r="B11" s="16">
        <v>19177.18</v>
      </c>
      <c r="C11" s="5">
        <f t="shared" si="0"/>
        <v>1174.1699999999983</v>
      </c>
      <c r="D11" s="6">
        <f t="shared" si="1"/>
        <v>-3.0416084505089525E-2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6" ht="15.75" customHeight="1" x14ac:dyDescent="0.25">
      <c r="A12" s="18">
        <v>21002.68</v>
      </c>
      <c r="B12" s="16">
        <v>19812.64</v>
      </c>
      <c r="C12" s="5">
        <f t="shared" si="0"/>
        <v>1190.0400000000009</v>
      </c>
      <c r="D12" s="6">
        <f t="shared" si="1"/>
        <v>-1.731125578445555E-2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6" ht="15.75" customHeight="1" x14ac:dyDescent="0.25">
      <c r="A13" s="18">
        <v>20289.55</v>
      </c>
      <c r="B13" s="16">
        <v>19109.189999999999</v>
      </c>
      <c r="C13" s="5">
        <f t="shared" si="0"/>
        <v>1180.3600000000006</v>
      </c>
      <c r="D13" s="6">
        <f t="shared" si="1"/>
        <v>-2.5304623271268388E-2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6" ht="15.75" customHeight="1" x14ac:dyDescent="0.25">
      <c r="A14" s="18">
        <v>20564.490000000002</v>
      </c>
      <c r="B14" s="16">
        <v>19373.71</v>
      </c>
      <c r="C14" s="5">
        <f t="shared" si="0"/>
        <v>1190.7800000000025</v>
      </c>
      <c r="D14" s="6">
        <f t="shared" si="1"/>
        <v>-1.670019256748715E-2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6" ht="15.75" customHeight="1" x14ac:dyDescent="0.25">
      <c r="A15" s="18">
        <v>20801.849999999999</v>
      </c>
      <c r="B15" s="16">
        <v>19582.259999999998</v>
      </c>
      <c r="C15" s="5">
        <f t="shared" si="0"/>
        <v>1219.5900000000001</v>
      </c>
      <c r="D15" s="6">
        <f t="shared" si="1"/>
        <v>7.0899848390265181E-3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6" ht="15.75" customHeight="1" x14ac:dyDescent="0.25">
      <c r="A16" s="18">
        <v>20463.14</v>
      </c>
      <c r="B16" s="16">
        <v>19231.02</v>
      </c>
      <c r="C16" s="5">
        <f t="shared" si="0"/>
        <v>1232.119999999999</v>
      </c>
      <c r="D16" s="6">
        <f t="shared" si="1"/>
        <v>1.7436771472265418E-2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6" ht="15.75" customHeight="1" x14ac:dyDescent="0.25">
      <c r="A17" s="18">
        <v>20916.689999999999</v>
      </c>
      <c r="B17" s="16">
        <v>19680.05</v>
      </c>
      <c r="C17" s="5">
        <f t="shared" si="0"/>
        <v>1236.6399999999994</v>
      </c>
      <c r="D17" s="6">
        <f t="shared" si="1"/>
        <v>2.1169211662389015E-2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6" ht="15.75" customHeight="1" x14ac:dyDescent="0.25">
      <c r="A18" s="18">
        <v>20336.78</v>
      </c>
      <c r="B18" s="16">
        <v>19121.7</v>
      </c>
      <c r="C18" s="5">
        <f t="shared" si="0"/>
        <v>1215.0799999999981</v>
      </c>
      <c r="D18" s="6">
        <f t="shared" si="1"/>
        <v>3.3658022599416942E-3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6" ht="15.75" customHeight="1" x14ac:dyDescent="0.25">
      <c r="A19" s="18">
        <v>20339.509999999998</v>
      </c>
      <c r="B19" s="16">
        <v>19115.41</v>
      </c>
      <c r="C19" s="5">
        <f t="shared" si="0"/>
        <v>1224.0999999999985</v>
      </c>
      <c r="D19" s="6">
        <f t="shared" si="1"/>
        <v>1.0814167418108339E-2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6" ht="15.75" customHeight="1" x14ac:dyDescent="0.25">
      <c r="A20" s="18">
        <v>20426.66</v>
      </c>
      <c r="B20" s="16">
        <v>19239.12</v>
      </c>
      <c r="C20" s="5">
        <f t="shared" si="0"/>
        <v>1187.5400000000009</v>
      </c>
      <c r="D20" s="6">
        <f t="shared" si="1"/>
        <v>-1.9375658544479465E-2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6" ht="15.75" customHeight="1" x14ac:dyDescent="0.25">
      <c r="A21" s="18">
        <v>20548.509999999998</v>
      </c>
      <c r="B21" s="16">
        <v>19312.650000000001</v>
      </c>
      <c r="C21" s="5">
        <f t="shared" si="0"/>
        <v>1235.8599999999969</v>
      </c>
      <c r="D21" s="6">
        <f t="shared" si="1"/>
        <v>2.0525118001259512E-2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6" x14ac:dyDescent="0.25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6" x14ac:dyDescent="0.25">
      <c r="A23" s="7">
        <f>SUM(A2:A21)</f>
        <v>410345.2</v>
      </c>
      <c r="B23" s="7">
        <f>SUM(B2:B21)</f>
        <v>386125.12</v>
      </c>
      <c r="C23" s="7">
        <f>SUM(C2:C21)</f>
        <v>24220.079999999994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6" ht="12.75" customHeight="1" x14ac:dyDescent="0.2">
      <c r="A24" s="9">
        <f>AVERAGE(A2:A21)</f>
        <v>20517.260000000002</v>
      </c>
      <c r="B24" s="9">
        <f>AVERAGE(B2:B21)</f>
        <v>19306.256000000001</v>
      </c>
      <c r="C24" s="9">
        <f>AVERAGE(C2:C21)</f>
        <v>1211.0039999999997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6" ht="12.75" customHeight="1" x14ac:dyDescent="0.2">
      <c r="A25" s="21">
        <f>A24*0.95</f>
        <v>19491.397000000001</v>
      </c>
      <c r="B25" s="21">
        <f>B24*0.95</f>
        <v>18340.943200000002</v>
      </c>
      <c r="C25" s="11">
        <f>IF(C24&lt;300, C24*0.9, C24*0.925)</f>
        <v>1120.1786999999997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6" ht="12.75" customHeight="1" x14ac:dyDescent="0.2">
      <c r="A26" s="2">
        <f>A24*1.05</f>
        <v>21543.123000000003</v>
      </c>
      <c r="B26" s="2">
        <f>B24*1.05</f>
        <v>20271.568800000001</v>
      </c>
      <c r="C26" s="11">
        <f>IF(C24&lt;300, C24*1.1, C24*1.075)</f>
        <v>1301.8292999999996</v>
      </c>
      <c r="G26" s="12"/>
      <c r="H26" s="22"/>
      <c r="K26" s="12"/>
      <c r="L26" s="22"/>
      <c r="M26" s="13"/>
      <c r="O26" s="13"/>
    </row>
    <row r="27" spans="1:16" x14ac:dyDescent="0.25">
      <c r="G27" s="23"/>
      <c r="I27" s="23"/>
    </row>
    <row r="31" spans="1:16" x14ac:dyDescent="0.25">
      <c r="A31" s="24"/>
      <c r="C31" s="24"/>
      <c r="F31" s="24"/>
      <c r="H31" s="24"/>
    </row>
    <row r="32" spans="1:16" x14ac:dyDescent="0.25">
      <c r="F32" s="5"/>
      <c r="G32" s="5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tabSelected="1" view="pageBreakPreview" topLeftCell="A43" zoomScale="70" zoomScaleNormal="75" workbookViewId="0">
      <selection activeCell="B56" sqref="B56"/>
    </sheetView>
  </sheetViews>
  <sheetFormatPr defaultRowHeight="18.75" x14ac:dyDescent="0.3"/>
  <cols>
    <col min="1" max="1" width="52.7109375" style="27" customWidth="1"/>
    <col min="2" max="2" width="44.85546875" style="27" customWidth="1"/>
    <col min="3" max="3" width="38.42578125" style="27" customWidth="1"/>
    <col min="4" max="4" width="23.140625" style="27" customWidth="1"/>
    <col min="5" max="5" width="26" style="27" customWidth="1"/>
    <col min="6" max="6" width="25.42578125" style="27" customWidth="1"/>
    <col min="7" max="7" width="28.140625" style="27" customWidth="1"/>
    <col min="8" max="8" width="30.42578125" style="27" customWidth="1"/>
    <col min="9" max="9" width="22.28515625" style="27" customWidth="1"/>
    <col min="10" max="10" width="9.140625" style="27" customWidth="1"/>
  </cols>
  <sheetData>
    <row r="17" spans="1:12" x14ac:dyDescent="0.3">
      <c r="A17" s="52" t="s">
        <v>3</v>
      </c>
      <c r="B17" s="52"/>
    </row>
    <row r="18" spans="1:12" x14ac:dyDescent="0.3">
      <c r="A18" s="98" t="s">
        <v>4</v>
      </c>
      <c r="B18" s="152" t="s">
        <v>5</v>
      </c>
      <c r="C18" s="152"/>
    </row>
    <row r="19" spans="1:12" x14ac:dyDescent="0.3">
      <c r="A19" s="98" t="s">
        <v>6</v>
      </c>
      <c r="B19" s="94" t="s">
        <v>7</v>
      </c>
      <c r="C19" s="96"/>
    </row>
    <row r="20" spans="1:12" x14ac:dyDescent="0.3">
      <c r="A20" s="98" t="s">
        <v>8</v>
      </c>
      <c r="B20" s="94" t="s">
        <v>9</v>
      </c>
      <c r="C20" s="96"/>
    </row>
    <row r="21" spans="1:12" x14ac:dyDescent="0.3">
      <c r="A21" s="98" t="s">
        <v>10</v>
      </c>
      <c r="B21" s="153" t="s">
        <v>11</v>
      </c>
      <c r="C21" s="153"/>
    </row>
    <row r="22" spans="1:12" x14ac:dyDescent="0.3">
      <c r="A22" s="98" t="s">
        <v>12</v>
      </c>
      <c r="B22" s="97" t="s">
        <v>13</v>
      </c>
      <c r="C22" s="96"/>
    </row>
    <row r="23" spans="1:12" x14ac:dyDescent="0.3">
      <c r="A23" s="98" t="s">
        <v>14</v>
      </c>
      <c r="B23" s="95"/>
      <c r="C23" s="96"/>
    </row>
    <row r="24" spans="1:12" x14ac:dyDescent="0.3">
      <c r="A24" s="98"/>
      <c r="B24" s="99"/>
    </row>
    <row r="25" spans="1:12" x14ac:dyDescent="0.3">
      <c r="A25" s="100" t="s">
        <v>15</v>
      </c>
      <c r="B25" s="99"/>
    </row>
    <row r="26" spans="1:12" x14ac:dyDescent="0.3">
      <c r="A26" s="49" t="s">
        <v>16</v>
      </c>
      <c r="B26" s="80" t="s">
        <v>17</v>
      </c>
    </row>
    <row r="27" spans="1:12" x14ac:dyDescent="0.3">
      <c r="A27" s="50" t="s">
        <v>18</v>
      </c>
      <c r="B27" s="81" t="s">
        <v>19</v>
      </c>
    </row>
    <row r="28" spans="1:12" ht="19.5" customHeight="1" x14ac:dyDescent="0.3">
      <c r="A28" s="50" t="s">
        <v>20</v>
      </c>
      <c r="B28" s="82">
        <v>92.4</v>
      </c>
    </row>
    <row r="29" spans="1:12" s="23" customFormat="1" ht="15.75" customHeight="1" x14ac:dyDescent="0.3">
      <c r="A29" s="50" t="s">
        <v>21</v>
      </c>
      <c r="B29" s="81">
        <v>0</v>
      </c>
      <c r="C29" s="154" t="s">
        <v>22</v>
      </c>
      <c r="D29" s="155"/>
      <c r="E29" s="156"/>
      <c r="G29" s="60"/>
      <c r="H29" s="60"/>
      <c r="I29" s="60"/>
      <c r="J29" s="60"/>
    </row>
    <row r="30" spans="1:12" s="23" customFormat="1" ht="19.5" customHeight="1" x14ac:dyDescent="0.3">
      <c r="A30" s="50" t="s">
        <v>23</v>
      </c>
      <c r="B30" s="80">
        <f>B28-B29</f>
        <v>92.4</v>
      </c>
      <c r="C30" s="47"/>
      <c r="D30" s="47"/>
      <c r="E30" s="48"/>
      <c r="G30" s="60"/>
      <c r="H30" s="60"/>
      <c r="I30" s="60"/>
      <c r="J30" s="60"/>
    </row>
    <row r="31" spans="1:12" s="23" customFormat="1" ht="17.25" customHeight="1" x14ac:dyDescent="0.3">
      <c r="A31" s="50" t="s">
        <v>24</v>
      </c>
      <c r="B31" s="83">
        <v>1</v>
      </c>
      <c r="C31" s="159" t="s">
        <v>25</v>
      </c>
      <c r="D31" s="160"/>
      <c r="E31" s="160"/>
      <c r="F31" s="161"/>
      <c r="G31" s="60"/>
      <c r="H31" s="60"/>
      <c r="I31" s="60"/>
      <c r="J31" s="60"/>
    </row>
    <row r="32" spans="1:12" s="23" customFormat="1" ht="17.25" customHeight="1" x14ac:dyDescent="0.3">
      <c r="A32" s="50" t="s">
        <v>26</v>
      </c>
      <c r="B32" s="83">
        <v>1</v>
      </c>
      <c r="C32" s="159" t="s">
        <v>27</v>
      </c>
      <c r="D32" s="160"/>
      <c r="E32" s="160"/>
      <c r="F32" s="161"/>
      <c r="G32" s="60"/>
      <c r="H32" s="60"/>
      <c r="I32" s="60"/>
      <c r="J32" s="101"/>
      <c r="K32" s="101"/>
      <c r="L32" s="102"/>
    </row>
    <row r="33" spans="1:12" s="23" customFormat="1" ht="17.25" customHeight="1" x14ac:dyDescent="0.3">
      <c r="A33" s="50"/>
      <c r="B33" s="103"/>
      <c r="C33" s="61"/>
      <c r="D33" s="61"/>
      <c r="E33" s="61"/>
      <c r="F33" s="61"/>
      <c r="G33" s="60"/>
      <c r="H33" s="60"/>
      <c r="I33" s="60"/>
      <c r="J33" s="101"/>
      <c r="K33" s="101"/>
      <c r="L33" s="102"/>
    </row>
    <row r="34" spans="1:12" s="23" customFormat="1" x14ac:dyDescent="0.3">
      <c r="A34" s="50" t="s">
        <v>28</v>
      </c>
      <c r="B34" s="41">
        <f>B31/B32</f>
        <v>1</v>
      </c>
      <c r="C34" s="51" t="s">
        <v>29</v>
      </c>
      <c r="D34" s="51"/>
      <c r="E34" s="51"/>
      <c r="G34" s="60"/>
      <c r="H34" s="60"/>
      <c r="I34" s="60"/>
      <c r="J34" s="101"/>
      <c r="K34" s="101"/>
      <c r="L34" s="102"/>
    </row>
    <row r="35" spans="1:12" s="23" customFormat="1" ht="19.5" customHeight="1" x14ac:dyDescent="0.3">
      <c r="A35" s="50"/>
      <c r="B35" s="104"/>
      <c r="E35" s="51"/>
      <c r="G35" s="60"/>
      <c r="H35" s="60"/>
      <c r="I35" s="60"/>
      <c r="J35" s="101"/>
      <c r="K35" s="101"/>
      <c r="L35" s="102"/>
    </row>
    <row r="36" spans="1:12" s="23" customFormat="1" ht="15.75" customHeight="1" x14ac:dyDescent="0.3">
      <c r="A36" s="42" t="s">
        <v>30</v>
      </c>
      <c r="B36" s="111">
        <v>50</v>
      </c>
      <c r="C36" s="51"/>
      <c r="D36" s="157" t="s">
        <v>31</v>
      </c>
      <c r="E36" s="158"/>
      <c r="F36" s="157" t="s">
        <v>32</v>
      </c>
      <c r="G36" s="158"/>
      <c r="H36" s="60"/>
      <c r="I36" s="60"/>
      <c r="J36" s="101"/>
      <c r="K36" s="101"/>
      <c r="L36" s="102"/>
    </row>
    <row r="37" spans="1:12" s="23" customFormat="1" ht="15.75" customHeight="1" x14ac:dyDescent="0.3">
      <c r="A37" s="43" t="s">
        <v>33</v>
      </c>
      <c r="B37" s="112">
        <v>10</v>
      </c>
      <c r="C37" s="105" t="s">
        <v>34</v>
      </c>
      <c r="D37" s="106" t="s">
        <v>35</v>
      </c>
      <c r="E37" s="107" t="s">
        <v>36</v>
      </c>
      <c r="F37" s="106" t="s">
        <v>35</v>
      </c>
      <c r="G37" s="107" t="s">
        <v>36</v>
      </c>
      <c r="H37" s="60"/>
      <c r="I37" s="60"/>
      <c r="J37" s="101"/>
      <c r="K37" s="101"/>
      <c r="L37" s="102"/>
    </row>
    <row r="38" spans="1:12" s="23" customFormat="1" ht="21.75" customHeight="1" x14ac:dyDescent="0.3">
      <c r="A38" s="43" t="s">
        <v>37</v>
      </c>
      <c r="B38" s="112">
        <v>25</v>
      </c>
      <c r="C38" s="91">
        <v>1</v>
      </c>
      <c r="D38" s="113">
        <v>103733303</v>
      </c>
      <c r="E38" s="27">
        <f>IF(ISBLANK(D38),"-",$D$48/$D$45*D38)</f>
        <v>113307912.22974308</v>
      </c>
      <c r="F38" s="116">
        <v>106624522</v>
      </c>
      <c r="G38" s="32">
        <f>IF(ISBLANK(F38),"-",$D$48/$F$45*F38)</f>
        <v>111255788.97898604</v>
      </c>
      <c r="H38" s="60"/>
      <c r="I38" s="60"/>
      <c r="J38" s="101"/>
      <c r="K38" s="101"/>
      <c r="L38" s="102"/>
    </row>
    <row r="39" spans="1:12" s="23" customFormat="1" ht="21.75" customHeight="1" x14ac:dyDescent="0.3">
      <c r="A39" s="43" t="s">
        <v>38</v>
      </c>
      <c r="B39" s="112">
        <v>1</v>
      </c>
      <c r="C39" s="92">
        <v>2</v>
      </c>
      <c r="D39" s="114">
        <v>103590251</v>
      </c>
      <c r="E39" s="28">
        <f>IF(ISBLANK(D39),"-",$D$48/$D$45*D39)</f>
        <v>113151656.49516679</v>
      </c>
      <c r="F39" s="82">
        <v>106563955</v>
      </c>
      <c r="G39" s="33">
        <f>IF(ISBLANK(F39),"-",$D$48/$F$45*F39)</f>
        <v>111192591.23380795</v>
      </c>
      <c r="H39" s="60"/>
      <c r="I39" s="60"/>
      <c r="J39" s="101"/>
      <c r="K39" s="101"/>
      <c r="L39" s="102"/>
    </row>
    <row r="40" spans="1:12" ht="21.75" customHeight="1" x14ac:dyDescent="0.3">
      <c r="A40" s="43" t="s">
        <v>39</v>
      </c>
      <c r="B40" s="112">
        <v>1</v>
      </c>
      <c r="C40" s="92">
        <v>3</v>
      </c>
      <c r="D40" s="114">
        <v>104243226</v>
      </c>
      <c r="E40" s="28">
        <f>IF(ISBLANK(D40),"-",$D$48/$D$45*D40)</f>
        <v>113864901.2473195</v>
      </c>
      <c r="F40" s="82">
        <v>107105338</v>
      </c>
      <c r="G40" s="33">
        <f>IF(ISBLANK(F40),"-",$D$48/$F$45*F40)</f>
        <v>111757489.36113377</v>
      </c>
      <c r="J40" s="101"/>
      <c r="K40" s="101"/>
      <c r="L40" s="55"/>
    </row>
    <row r="41" spans="1:12" ht="21.75" customHeight="1" x14ac:dyDescent="0.3">
      <c r="A41" s="43" t="s">
        <v>40</v>
      </c>
      <c r="B41" s="112">
        <v>1</v>
      </c>
      <c r="C41" s="93">
        <v>4</v>
      </c>
      <c r="D41" s="115"/>
      <c r="E41" s="29" t="str">
        <f>IF(ISBLANK(D41),"-",$D$48/$D$45*D41)</f>
        <v>-</v>
      </c>
      <c r="F41" s="117"/>
      <c r="G41" s="34" t="str">
        <f>IF(ISBLANK(F41),"-",$D$48/$F$45*F41)</f>
        <v>-</v>
      </c>
      <c r="J41" s="101"/>
      <c r="K41" s="101"/>
      <c r="L41" s="55"/>
    </row>
    <row r="42" spans="1:12" ht="22.5" customHeight="1" x14ac:dyDescent="0.3">
      <c r="A42" s="43" t="s">
        <v>41</v>
      </c>
      <c r="B42" s="112">
        <v>1</v>
      </c>
      <c r="C42" s="108" t="s">
        <v>42</v>
      </c>
      <c r="D42" s="127">
        <f>AVERAGE(D38:D41)</f>
        <v>103855593.33333333</v>
      </c>
      <c r="E42" s="30">
        <f>AVERAGE(E38:E41)</f>
        <v>113441489.99074312</v>
      </c>
      <c r="F42" s="31">
        <f>AVERAGE(F38:F41)</f>
        <v>106764605</v>
      </c>
      <c r="G42" s="30">
        <f>AVERAGE(G38:G41)</f>
        <v>111401956.52464259</v>
      </c>
    </row>
    <row r="43" spans="1:12" ht="21.75" customHeight="1" x14ac:dyDescent="0.3">
      <c r="A43" s="43" t="s">
        <v>43</v>
      </c>
      <c r="B43" s="82">
        <v>1</v>
      </c>
      <c r="C43" s="128" t="s">
        <v>44</v>
      </c>
      <c r="D43" s="129">
        <v>24.77</v>
      </c>
      <c r="E43" s="55"/>
      <c r="F43" s="118">
        <v>25.93</v>
      </c>
    </row>
    <row r="44" spans="1:12" ht="21.75" customHeight="1" x14ac:dyDescent="0.3">
      <c r="A44" s="43" t="s">
        <v>45</v>
      </c>
      <c r="B44" s="82">
        <v>1</v>
      </c>
      <c r="C44" s="130" t="s">
        <v>46</v>
      </c>
      <c r="D44" s="131">
        <f>D43*$B$34</f>
        <v>24.77</v>
      </c>
      <c r="E44" s="56"/>
      <c r="F44" s="35">
        <f>F43*$B$34</f>
        <v>25.93</v>
      </c>
    </row>
    <row r="45" spans="1:12" ht="19.5" customHeight="1" x14ac:dyDescent="0.3">
      <c r="A45" s="43" t="s">
        <v>47</v>
      </c>
      <c r="B45" s="56">
        <f>(B44/B43)*(B42/B41)*(B40/B39)*(B38/B37)*B36</f>
        <v>125</v>
      </c>
      <c r="C45" s="130" t="s">
        <v>48</v>
      </c>
      <c r="D45" s="132">
        <f>D44*$B$30/100</f>
        <v>22.88748</v>
      </c>
      <c r="E45" s="57"/>
      <c r="F45" s="36">
        <f>F44*$B$30/100</f>
        <v>23.959320000000002</v>
      </c>
    </row>
    <row r="46" spans="1:12" ht="19.5" customHeight="1" x14ac:dyDescent="0.3">
      <c r="A46" s="139" t="s">
        <v>49</v>
      </c>
      <c r="B46" s="140"/>
      <c r="C46" s="130" t="s">
        <v>50</v>
      </c>
      <c r="D46" s="131">
        <f>D45/$B$45</f>
        <v>0.18309984000000001</v>
      </c>
      <c r="E46" s="57"/>
      <c r="F46" s="37">
        <f>F45/$B$45</f>
        <v>0.19167456000000002</v>
      </c>
    </row>
    <row r="47" spans="1:12" ht="19.5" customHeight="1" x14ac:dyDescent="0.3">
      <c r="A47" s="141"/>
      <c r="B47" s="142"/>
      <c r="C47" s="130" t="s">
        <v>51</v>
      </c>
      <c r="D47" s="133">
        <v>0.2</v>
      </c>
      <c r="F47" s="58"/>
    </row>
    <row r="48" spans="1:12" x14ac:dyDescent="0.3">
      <c r="C48" s="130" t="s">
        <v>52</v>
      </c>
      <c r="D48" s="36">
        <f>D47*$B$45</f>
        <v>25</v>
      </c>
      <c r="F48" s="58"/>
    </row>
    <row r="49" spans="1:8" ht="19.5" customHeight="1" x14ac:dyDescent="0.3">
      <c r="C49" s="134" t="s">
        <v>53</v>
      </c>
      <c r="D49" s="135">
        <f>D48/B34</f>
        <v>25</v>
      </c>
      <c r="F49" s="59"/>
    </row>
    <row r="50" spans="1:8" x14ac:dyDescent="0.3">
      <c r="C50" s="46" t="s">
        <v>54</v>
      </c>
      <c r="D50" s="38">
        <f>AVERAGE(E38:E41,G38:G41)</f>
        <v>112421723.25769286</v>
      </c>
      <c r="F50" s="59"/>
    </row>
    <row r="51" spans="1:8" x14ac:dyDescent="0.3">
      <c r="C51" s="44" t="s">
        <v>55</v>
      </c>
      <c r="D51" s="39">
        <f>STDEV(E38:E41,G38:G41)/D50</f>
        <v>1.0306222245380666E-2</v>
      </c>
      <c r="F51" s="59"/>
    </row>
    <row r="52" spans="1:8" ht="19.5" customHeight="1" x14ac:dyDescent="0.3">
      <c r="C52" s="45" t="s">
        <v>56</v>
      </c>
      <c r="D52" s="40">
        <f>COUNT(E38:E41,G38:G41)</f>
        <v>6</v>
      </c>
      <c r="F52" s="59"/>
    </row>
    <row r="54" spans="1:8" x14ac:dyDescent="0.3">
      <c r="A54" s="52" t="s">
        <v>15</v>
      </c>
      <c r="B54" s="53" t="s">
        <v>57</v>
      </c>
    </row>
    <row r="55" spans="1:8" x14ac:dyDescent="0.3">
      <c r="A55" s="51" t="s">
        <v>58</v>
      </c>
      <c r="B55" s="54">
        <v>1211.0039999999999</v>
      </c>
      <c r="C55" s="27" t="s">
        <v>59</v>
      </c>
    </row>
    <row r="56" spans="1:8" x14ac:dyDescent="0.3">
      <c r="A56" s="50" t="s">
        <v>60</v>
      </c>
      <c r="B56" s="86">
        <v>1211.0039999999999</v>
      </c>
      <c r="C56" s="62" t="s">
        <v>61</v>
      </c>
      <c r="D56" s="87">
        <v>1000</v>
      </c>
      <c r="E56" s="51" t="s">
        <v>59</v>
      </c>
      <c r="F56" s="62"/>
    </row>
    <row r="57" spans="1:8" ht="19.5" customHeight="1" x14ac:dyDescent="0.3">
      <c r="F57" s="62"/>
    </row>
    <row r="58" spans="1:8" s="23" customFormat="1" ht="15.75" customHeight="1" x14ac:dyDescent="0.3">
      <c r="A58" s="42" t="s">
        <v>62</v>
      </c>
      <c r="B58" s="84">
        <v>50</v>
      </c>
      <c r="C58" s="51"/>
      <c r="D58" s="109" t="s">
        <v>63</v>
      </c>
      <c r="E58" s="67" t="s">
        <v>64</v>
      </c>
      <c r="F58" s="67" t="s">
        <v>35</v>
      </c>
      <c r="G58" s="67" t="s">
        <v>65</v>
      </c>
      <c r="H58" s="105" t="s">
        <v>66</v>
      </c>
    </row>
    <row r="59" spans="1:8" s="23" customFormat="1" ht="15.75" customHeight="1" x14ac:dyDescent="0.3">
      <c r="A59" s="43" t="s">
        <v>67</v>
      </c>
      <c r="B59" s="85">
        <v>5</v>
      </c>
      <c r="C59" s="143" t="s">
        <v>68</v>
      </c>
      <c r="D59" s="147">
        <v>57.04</v>
      </c>
      <c r="E59" s="68">
        <v>1</v>
      </c>
      <c r="F59" s="88">
        <v>115954587</v>
      </c>
      <c r="G59" s="71">
        <f>IF(ISBLANK(F59),"-",(F59/$D$50*$D$47*$B$67)*$B$56/$D$59)</f>
        <v>1094.8982469755629</v>
      </c>
      <c r="H59" s="72">
        <f>IF(ISBLANK($D$59),"Enter Smp Vol",IF(ISBLANK(F59),"-",G59/$D$56))</f>
        <v>1.0948982469755628</v>
      </c>
    </row>
    <row r="60" spans="1:8" s="23" customFormat="1" ht="21.75" customHeight="1" x14ac:dyDescent="0.3">
      <c r="A60" s="43" t="s">
        <v>69</v>
      </c>
      <c r="B60" s="85">
        <v>25</v>
      </c>
      <c r="C60" s="144"/>
      <c r="D60" s="148"/>
      <c r="E60" s="69">
        <v>2</v>
      </c>
      <c r="F60" s="89">
        <v>117869140</v>
      </c>
      <c r="G60" s="73">
        <f>IF(ISBLANK(F60),"-",(F60/$D$50*$D$47*$B$67)*$B$56/$D$59)</f>
        <v>1112.9763651222972</v>
      </c>
      <c r="H60" s="74">
        <f t="shared" ref="H59:H70" si="0">IF(ISBLANK($D$59),"Enter Smp Vol",IF(ISBLANK(F60),"-",G60/$D$56))</f>
        <v>1.1129763651222973</v>
      </c>
    </row>
    <row r="61" spans="1:8" s="23" customFormat="1" ht="21.75" customHeight="1" x14ac:dyDescent="0.3">
      <c r="A61" s="43" t="s">
        <v>70</v>
      </c>
      <c r="B61" s="85">
        <v>1</v>
      </c>
      <c r="C61" s="144"/>
      <c r="D61" s="148"/>
      <c r="E61" s="69">
        <v>3</v>
      </c>
      <c r="F61" s="89">
        <v>117523184</v>
      </c>
      <c r="G61" s="73">
        <f>IF(ISBLANK(F61),"-",(F61/$D$50*$D$47*$B$67)*$B$56/$D$59)</f>
        <v>1109.7096843662296</v>
      </c>
      <c r="H61" s="74">
        <f t="shared" si="0"/>
        <v>1.1097096843662295</v>
      </c>
    </row>
    <row r="62" spans="1:8" ht="22.5" customHeight="1" x14ac:dyDescent="0.3">
      <c r="A62" s="43" t="s">
        <v>71</v>
      </c>
      <c r="B62" s="85">
        <v>1</v>
      </c>
      <c r="C62" s="145"/>
      <c r="D62" s="149"/>
      <c r="E62" s="70">
        <v>4</v>
      </c>
      <c r="F62" s="90"/>
      <c r="G62" s="119" t="str">
        <f>IF(ISBLANK(F62),"-",(F62/$D$50*$D$47*$B$67)*$B$56/$D$59)</f>
        <v>-</v>
      </c>
      <c r="H62" s="74" t="str">
        <f t="shared" si="0"/>
        <v>-</v>
      </c>
    </row>
    <row r="63" spans="1:8" ht="21.75" customHeight="1" x14ac:dyDescent="0.3">
      <c r="A63" s="43" t="s">
        <v>72</v>
      </c>
      <c r="B63" s="85">
        <v>1</v>
      </c>
      <c r="C63" s="143" t="s">
        <v>73</v>
      </c>
      <c r="D63" s="147">
        <v>60.39</v>
      </c>
      <c r="E63" s="68">
        <v>1</v>
      </c>
      <c r="F63" s="88">
        <v>122536494</v>
      </c>
      <c r="G63" s="71">
        <f>IF(ISBLANK(F63),"-",(F63/$D$50*$D$47*$B$67)*$B$56/$D$63)</f>
        <v>1092.863105027039</v>
      </c>
      <c r="H63" s="72">
        <f t="shared" si="0"/>
        <v>1.092863105027039</v>
      </c>
    </row>
    <row r="64" spans="1:8" ht="21.75" customHeight="1" x14ac:dyDescent="0.3">
      <c r="A64" s="43" t="s">
        <v>74</v>
      </c>
      <c r="B64" s="85">
        <v>1</v>
      </c>
      <c r="C64" s="144"/>
      <c r="D64" s="148"/>
      <c r="E64" s="69">
        <v>2</v>
      </c>
      <c r="F64" s="89">
        <v>122492706</v>
      </c>
      <c r="G64" s="73">
        <f>IF(ISBLANK(F64),"-",(F64/$D$50*$D$47*$B$67)*$B$56/$D$63)</f>
        <v>1092.4725741077937</v>
      </c>
      <c r="H64" s="74">
        <f t="shared" si="0"/>
        <v>1.0924725741077936</v>
      </c>
    </row>
    <row r="65" spans="1:9" ht="21.75" customHeight="1" x14ac:dyDescent="0.3">
      <c r="A65" s="43" t="s">
        <v>75</v>
      </c>
      <c r="B65" s="85">
        <v>1</v>
      </c>
      <c r="C65" s="144"/>
      <c r="D65" s="148"/>
      <c r="E65" s="69">
        <v>3</v>
      </c>
      <c r="F65" s="89">
        <v>122512433</v>
      </c>
      <c r="G65" s="73">
        <f>IF(ISBLANK(F65),"-",(F65/$D$50*$D$47*$B$67)*$B$56/$D$63)</f>
        <v>1092.648512799763</v>
      </c>
      <c r="H65" s="74">
        <f t="shared" si="0"/>
        <v>1.0926485127997629</v>
      </c>
    </row>
    <row r="66" spans="1:9" ht="21.75" customHeight="1" x14ac:dyDescent="0.3">
      <c r="A66" s="43" t="s">
        <v>76</v>
      </c>
      <c r="B66" s="85">
        <v>1</v>
      </c>
      <c r="C66" s="145"/>
      <c r="D66" s="149">
        <v>1</v>
      </c>
      <c r="E66" s="70">
        <v>4</v>
      </c>
      <c r="F66" s="90"/>
      <c r="G66" s="119" t="str">
        <f>IF(ISBLANK(F66),"-",(F66/$D$50*$D$47*$B$67)*$B$56/$D$63)</f>
        <v>-</v>
      </c>
      <c r="H66" s="75" t="str">
        <f t="shared" si="0"/>
        <v>-</v>
      </c>
    </row>
    <row r="67" spans="1:9" ht="21.75" customHeight="1" x14ac:dyDescent="0.3">
      <c r="A67" s="43" t="s">
        <v>77</v>
      </c>
      <c r="B67" s="92">
        <f>(B66/B65)*(B64/B63)*(B62/B61)*(B60/B59)*B58</f>
        <v>250</v>
      </c>
      <c r="C67" s="143" t="s">
        <v>78</v>
      </c>
      <c r="D67" s="147">
        <v>62.36</v>
      </c>
      <c r="E67" s="68">
        <v>1</v>
      </c>
      <c r="F67" s="88">
        <v>127955560</v>
      </c>
      <c r="G67" s="71">
        <f>IF(ISBLANK(F67),"-",(F67/$D$50*$D$47*$B$67)*$B$56/$D$67)</f>
        <v>1105.1428015505862</v>
      </c>
      <c r="H67" s="74">
        <f t="shared" si="0"/>
        <v>1.1051428015505862</v>
      </c>
    </row>
    <row r="68" spans="1:9" ht="21.75" customHeight="1" x14ac:dyDescent="0.3">
      <c r="A68" s="125" t="s">
        <v>79</v>
      </c>
      <c r="B68" s="126">
        <f>(D47*B67)/D56*B56</f>
        <v>60.550199999999997</v>
      </c>
      <c r="C68" s="144"/>
      <c r="D68" s="148"/>
      <c r="E68" s="69">
        <v>2</v>
      </c>
      <c r="F68" s="89">
        <v>125895352</v>
      </c>
      <c r="G68" s="73">
        <f>IF(ISBLANK(F68),"-",(F68/$D$50*$D$47*$B$67)*$B$56/$D$67)</f>
        <v>1087.3489359233565</v>
      </c>
      <c r="H68" s="74">
        <f t="shared" si="0"/>
        <v>1.0873489359233566</v>
      </c>
    </row>
    <row r="69" spans="1:9" ht="21" customHeight="1" x14ac:dyDescent="0.3">
      <c r="A69" s="139" t="s">
        <v>49</v>
      </c>
      <c r="B69" s="150"/>
      <c r="C69" s="144"/>
      <c r="D69" s="148"/>
      <c r="E69" s="69">
        <v>3</v>
      </c>
      <c r="F69" s="89">
        <v>126004080</v>
      </c>
      <c r="G69" s="73">
        <f>IF(ISBLANK(F69),"-",(F69/$D$50*$D$47*$B$67)*$B$56/$D$67)</f>
        <v>1088.2880116972187</v>
      </c>
      <c r="H69" s="74">
        <f t="shared" si="0"/>
        <v>1.0882880116972187</v>
      </c>
    </row>
    <row r="70" spans="1:9" ht="21.75" customHeight="1" x14ac:dyDescent="0.3">
      <c r="A70" s="141"/>
      <c r="B70" s="151"/>
      <c r="C70" s="146"/>
      <c r="D70" s="149"/>
      <c r="E70" s="70">
        <v>4</v>
      </c>
      <c r="F70" s="90"/>
      <c r="G70" s="119" t="str">
        <f>IF(ISBLANK(F70),"-",(F70/$D$50*$D$47*$B$67)*$B$56/$D$67)</f>
        <v>-</v>
      </c>
      <c r="H70" s="75" t="str">
        <f t="shared" si="0"/>
        <v>-</v>
      </c>
    </row>
    <row r="71" spans="1:9" x14ac:dyDescent="0.3">
      <c r="A71" s="63"/>
      <c r="B71" s="63"/>
      <c r="C71" s="63"/>
      <c r="E71" s="63"/>
      <c r="F71" s="64"/>
      <c r="G71" s="46" t="s">
        <v>42</v>
      </c>
      <c r="H71" s="120">
        <f>AVERAGE(H59:H70)</f>
        <v>1.0973720263966495</v>
      </c>
    </row>
    <row r="72" spans="1:9" x14ac:dyDescent="0.3">
      <c r="C72" s="63"/>
      <c r="E72" s="63"/>
      <c r="F72" s="64"/>
      <c r="G72" s="44" t="s">
        <v>55</v>
      </c>
      <c r="H72" s="76">
        <f>STDEV(H59:H70)/H71</f>
        <v>8.5959550870379989E-3</v>
      </c>
    </row>
    <row r="73" spans="1:9" ht="19.5" customHeight="1" x14ac:dyDescent="0.3">
      <c r="A73" s="63"/>
      <c r="B73" s="63"/>
      <c r="C73" s="64"/>
      <c r="E73" s="65"/>
      <c r="F73" s="64"/>
      <c r="G73" s="45" t="s">
        <v>56</v>
      </c>
      <c r="H73" s="77">
        <f>COUNT(H59:H70)</f>
        <v>9</v>
      </c>
    </row>
    <row r="74" spans="1:9" s="112" customFormat="1" x14ac:dyDescent="0.3">
      <c r="A74" s="136"/>
      <c r="B74" s="136"/>
      <c r="C74" s="56"/>
      <c r="E74" s="57"/>
      <c r="F74" s="56"/>
      <c r="G74" s="137"/>
      <c r="H74" s="138"/>
    </row>
    <row r="75" spans="1:9" s="112" customFormat="1" x14ac:dyDescent="0.3">
      <c r="A75" s="136"/>
      <c r="B75" s="136"/>
      <c r="C75" s="56"/>
      <c r="E75" s="57"/>
      <c r="F75" s="56"/>
      <c r="G75" s="137"/>
      <c r="H75" s="138"/>
    </row>
    <row r="76" spans="1:9" ht="19.5" customHeight="1" x14ac:dyDescent="0.3">
      <c r="A76" s="79"/>
      <c r="B76" s="78"/>
      <c r="C76" s="78"/>
      <c r="D76" s="78"/>
      <c r="E76" s="78"/>
      <c r="F76" s="78"/>
      <c r="G76" s="78"/>
      <c r="H76" s="78"/>
      <c r="I76" s="66"/>
    </row>
    <row r="77" spans="1:9" x14ac:dyDescent="0.3">
      <c r="B77" s="62" t="s">
        <v>80</v>
      </c>
      <c r="E77" s="64" t="s">
        <v>81</v>
      </c>
      <c r="F77" s="66"/>
      <c r="G77" s="64" t="s">
        <v>82</v>
      </c>
    </row>
    <row r="78" spans="1:9" ht="83.1" customHeight="1" x14ac:dyDescent="0.3">
      <c r="A78" s="110" t="s">
        <v>83</v>
      </c>
      <c r="B78" s="121"/>
      <c r="C78" s="121"/>
      <c r="E78" s="25"/>
      <c r="G78" s="122"/>
      <c r="H78" s="122"/>
    </row>
    <row r="79" spans="1:9" ht="83.1" customHeight="1" x14ac:dyDescent="0.3">
      <c r="A79" s="110" t="s">
        <v>84</v>
      </c>
      <c r="B79" s="123"/>
      <c r="C79" s="123"/>
      <c r="E79" s="26"/>
      <c r="F79" s="66"/>
      <c r="G79" s="124"/>
      <c r="H79" s="124"/>
    </row>
    <row r="80" spans="1:9" x14ac:dyDescent="0.3">
      <c r="A80" s="63"/>
      <c r="B80" s="63"/>
      <c r="C80" s="64"/>
      <c r="D80" s="65"/>
      <c r="E80" s="64"/>
      <c r="F80" s="64"/>
      <c r="G80" s="66"/>
    </row>
    <row r="81" spans="1:7" x14ac:dyDescent="0.3">
      <c r="A81" s="63"/>
      <c r="B81" s="63"/>
      <c r="C81" s="64"/>
      <c r="D81" s="65"/>
      <c r="E81" s="64"/>
      <c r="F81" s="64"/>
      <c r="G81" s="66"/>
    </row>
    <row r="82" spans="1:7" x14ac:dyDescent="0.3">
      <c r="A82" s="63"/>
      <c r="B82" s="63"/>
      <c r="C82" s="64"/>
      <c r="D82" s="65"/>
      <c r="E82" s="64"/>
      <c r="F82" s="64"/>
      <c r="G82" s="66"/>
    </row>
    <row r="83" spans="1:7" x14ac:dyDescent="0.3">
      <c r="A83" s="63"/>
      <c r="B83" s="63"/>
      <c r="C83" s="64"/>
      <c r="D83" s="65"/>
      <c r="E83" s="64"/>
      <c r="F83" s="64"/>
      <c r="G83" s="66"/>
    </row>
    <row r="84" spans="1:7" x14ac:dyDescent="0.3">
      <c r="A84" s="63"/>
      <c r="B84" s="63"/>
      <c r="C84" s="64"/>
      <c r="D84" s="65"/>
      <c r="E84" s="64"/>
      <c r="F84" s="64"/>
      <c r="G84" s="66"/>
    </row>
    <row r="85" spans="1:7" x14ac:dyDescent="0.3">
      <c r="A85" s="63"/>
      <c r="B85" s="63"/>
      <c r="C85" s="64"/>
      <c r="D85" s="65"/>
      <c r="E85" s="64"/>
      <c r="F85" s="64"/>
      <c r="G85" s="66"/>
    </row>
    <row r="86" spans="1:7" x14ac:dyDescent="0.3">
      <c r="A86" s="63"/>
      <c r="B86" s="63"/>
      <c r="C86" s="64"/>
      <c r="D86" s="65"/>
      <c r="E86" s="64"/>
      <c r="F86" s="64"/>
      <c r="G86" s="66"/>
    </row>
    <row r="87" spans="1:7" x14ac:dyDescent="0.3">
      <c r="A87" s="63"/>
      <c r="B87" s="63"/>
      <c r="C87" s="64"/>
      <c r="D87" s="65"/>
      <c r="E87" s="64"/>
      <c r="F87" s="64"/>
      <c r="G87" s="66"/>
    </row>
    <row r="88" spans="1:7" x14ac:dyDescent="0.3">
      <c r="A88" s="63"/>
      <c r="B88" s="63"/>
      <c r="C88" s="64"/>
      <c r="D88" s="65"/>
      <c r="E88" s="64"/>
      <c r="F88" s="64"/>
      <c r="G88" s="66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8:G29"/>
  <sheetViews>
    <sheetView workbookViewId="0">
      <selection activeCell="G30" sqref="G30"/>
    </sheetView>
  </sheetViews>
  <sheetFormatPr defaultRowHeight="12.75" x14ac:dyDescent="0.2"/>
  <sheetData>
    <row r="28" spans="7:7" x14ac:dyDescent="0.2">
      <c r="G28">
        <f>25/50*10/25</f>
        <v>0.2</v>
      </c>
    </row>
    <row r="29" spans="7:7" x14ac:dyDescent="0.2">
      <c r="G29">
        <f>50/50*5/25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Uniformity</vt:lpstr>
      <vt:lpstr>AI_Ceftriaxone</vt:lpstr>
      <vt:lpstr>Sheet2</vt:lpstr>
      <vt:lpstr>AI_Ceftriaxone!Print_Area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2014-10-14T08:47:04Z</dcterms:modified>
  <cp:category/>
</cp:coreProperties>
</file>