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(S2)" sheetId="1" r:id="rId1"/>
    <sheet name="Uniformity" sheetId="2" r:id="rId2"/>
    <sheet name="Levothyroxine Sodium(S1)" sheetId="5" r:id="rId3"/>
    <sheet name="SST (S2)" sheetId="7" r:id="rId4"/>
    <sheet name="Levothyroxine Sodium (S2)" sheetId="6" r:id="rId5"/>
  </sheets>
  <definedNames>
    <definedName name="_xlnm.Print_Area" localSheetId="4">'Levothyroxine Sodium (S2)'!$A$1:$G$160</definedName>
    <definedName name="_xlnm.Print_Area" localSheetId="2">'Levothyroxine Sodium(S1)'!$A$1:$H$133</definedName>
    <definedName name="_xlnm.Print_Area" localSheetId="3">'SST (S2)'!$A$15:$G$61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42" i="7" l="1"/>
  <c r="B42" i="1"/>
  <c r="B21" i="7" l="1"/>
  <c r="B21" i="1"/>
  <c r="B53" i="7"/>
  <c r="B52" i="7"/>
  <c r="B32" i="7"/>
  <c r="E30" i="7"/>
  <c r="D30" i="7"/>
  <c r="C30" i="7"/>
  <c r="B30" i="7"/>
  <c r="B31" i="7" s="1"/>
  <c r="C142" i="6" l="1"/>
  <c r="B125" i="6"/>
  <c r="B105" i="6"/>
  <c r="F102" i="6"/>
  <c r="D102" i="6"/>
  <c r="G101" i="6"/>
  <c r="E101" i="6"/>
  <c r="B94" i="6"/>
  <c r="B90" i="6"/>
  <c r="C74" i="6"/>
  <c r="B67" i="6"/>
  <c r="C56" i="6"/>
  <c r="B55" i="6"/>
  <c r="B45" i="6"/>
  <c r="D108" i="6" s="1"/>
  <c r="D109" i="6" s="1"/>
  <c r="F42" i="6"/>
  <c r="D42" i="6"/>
  <c r="G41" i="6"/>
  <c r="E41" i="6"/>
  <c r="G40" i="6"/>
  <c r="E40" i="6"/>
  <c r="G39" i="6"/>
  <c r="E39" i="6"/>
  <c r="G38" i="6"/>
  <c r="E38" i="6"/>
  <c r="B34" i="6"/>
  <c r="F104" i="6" s="1"/>
  <c r="B30" i="6"/>
  <c r="C129" i="5"/>
  <c r="B125" i="5"/>
  <c r="D109" i="5"/>
  <c r="B107" i="5"/>
  <c r="F104" i="5"/>
  <c r="D104" i="5"/>
  <c r="G103" i="5"/>
  <c r="E103" i="5"/>
  <c r="B96" i="5"/>
  <c r="F106" i="5" s="1"/>
  <c r="B91" i="5"/>
  <c r="B90" i="5"/>
  <c r="C74" i="5"/>
  <c r="E68" i="5"/>
  <c r="G68" i="5" s="1"/>
  <c r="E67" i="5"/>
  <c r="B67" i="5"/>
  <c r="E66" i="5"/>
  <c r="G66" i="5" s="1"/>
  <c r="E65" i="5"/>
  <c r="E64" i="5"/>
  <c r="G64" i="5" s="1"/>
  <c r="E63" i="5"/>
  <c r="G63" i="5" s="1"/>
  <c r="E62" i="5"/>
  <c r="E61" i="5"/>
  <c r="E60" i="5"/>
  <c r="G60" i="5" s="1"/>
  <c r="E59" i="5"/>
  <c r="G59" i="5" s="1"/>
  <c r="C56" i="5"/>
  <c r="B55" i="5"/>
  <c r="B45" i="5"/>
  <c r="D48" i="5" s="1"/>
  <c r="D49" i="5" s="1"/>
  <c r="F42" i="5"/>
  <c r="D42" i="5"/>
  <c r="G41" i="5"/>
  <c r="E41" i="5"/>
  <c r="B34" i="5"/>
  <c r="F44" i="5" s="1"/>
  <c r="F45" i="5" s="1"/>
  <c r="F46" i="5" s="1"/>
  <c r="B30" i="5"/>
  <c r="D49" i="2"/>
  <c r="C49" i="2"/>
  <c r="C46" i="2"/>
  <c r="B57" i="5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7" i="5" l="1"/>
  <c r="G65" i="5"/>
  <c r="G62" i="5"/>
  <c r="G61" i="5"/>
  <c r="F107" i="5"/>
  <c r="D110" i="5"/>
  <c r="D111" i="5" s="1"/>
  <c r="G40" i="5"/>
  <c r="G38" i="5"/>
  <c r="G39" i="5"/>
  <c r="E70" i="5"/>
  <c r="F67" i="5" s="1"/>
  <c r="C81" i="5"/>
  <c r="F105" i="6"/>
  <c r="G98" i="6" s="1"/>
  <c r="G42" i="6"/>
  <c r="D52" i="6"/>
  <c r="D48" i="6"/>
  <c r="D49" i="6" s="1"/>
  <c r="G100" i="6"/>
  <c r="D26" i="2"/>
  <c r="D30" i="2"/>
  <c r="D34" i="2"/>
  <c r="D38" i="2"/>
  <c r="D42" i="2"/>
  <c r="B49" i="2"/>
  <c r="D50" i="2"/>
  <c r="E42" i="6"/>
  <c r="F44" i="6"/>
  <c r="F45" i="6" s="1"/>
  <c r="F46" i="6" s="1"/>
  <c r="D50" i="6"/>
  <c r="D44" i="5"/>
  <c r="D45" i="5" s="1"/>
  <c r="G70" i="5"/>
  <c r="E72" i="5"/>
  <c r="B57" i="6"/>
  <c r="D106" i="5"/>
  <c r="D107" i="5" s="1"/>
  <c r="D104" i="6"/>
  <c r="D105" i="6" s="1"/>
  <c r="C50" i="2"/>
  <c r="G72" i="5"/>
  <c r="D44" i="6"/>
  <c r="D45" i="6" s="1"/>
  <c r="D46" i="6" s="1"/>
  <c r="F64" i="5" l="1"/>
  <c r="F66" i="5"/>
  <c r="F65" i="5"/>
  <c r="F68" i="5"/>
  <c r="F63" i="5"/>
  <c r="F62" i="5"/>
  <c r="F60" i="5"/>
  <c r="F61" i="5"/>
  <c r="E71" i="5"/>
  <c r="F59" i="5"/>
  <c r="F108" i="5"/>
  <c r="G100" i="5"/>
  <c r="G102" i="5"/>
  <c r="G101" i="5"/>
  <c r="D108" i="5"/>
  <c r="E102" i="5"/>
  <c r="E100" i="5"/>
  <c r="E101" i="5"/>
  <c r="G42" i="5"/>
  <c r="D46" i="5"/>
  <c r="E40" i="5"/>
  <c r="E38" i="5"/>
  <c r="E39" i="5"/>
  <c r="G99" i="6"/>
  <c r="F106" i="6"/>
  <c r="D51" i="6"/>
  <c r="E67" i="6"/>
  <c r="G67" i="6" s="1"/>
  <c r="E64" i="6"/>
  <c r="G64" i="6" s="1"/>
  <c r="E61" i="6"/>
  <c r="G61" i="6" s="1"/>
  <c r="E60" i="6"/>
  <c r="G60" i="6" s="1"/>
  <c r="E63" i="6"/>
  <c r="G63" i="6" s="1"/>
  <c r="E68" i="6"/>
  <c r="G68" i="6" s="1"/>
  <c r="E66" i="6"/>
  <c r="G66" i="6" s="1"/>
  <c r="E65" i="6"/>
  <c r="G65" i="6" s="1"/>
  <c r="E62" i="6"/>
  <c r="G62" i="6" s="1"/>
  <c r="E59" i="6"/>
  <c r="G102" i="6"/>
  <c r="D106" i="6"/>
  <c r="E100" i="6"/>
  <c r="E99" i="6"/>
  <c r="E98" i="6"/>
  <c r="C79" i="5"/>
  <c r="G74" i="5"/>
  <c r="C82" i="5"/>
  <c r="G71" i="5"/>
  <c r="F70" i="5" l="1"/>
  <c r="F71" i="5" s="1"/>
  <c r="F72" i="5"/>
  <c r="G104" i="5"/>
  <c r="E104" i="5"/>
  <c r="D114" i="5"/>
  <c r="D112" i="5"/>
  <c r="C83" i="5"/>
  <c r="D50" i="5"/>
  <c r="D51" i="5" s="1"/>
  <c r="D52" i="5"/>
  <c r="E42" i="5"/>
  <c r="G59" i="6"/>
  <c r="E72" i="6"/>
  <c r="E70" i="6"/>
  <c r="F62" i="6" s="1"/>
  <c r="D110" i="6"/>
  <c r="E102" i="6"/>
  <c r="D112" i="6"/>
  <c r="D113" i="5" l="1"/>
  <c r="E122" i="5"/>
  <c r="F122" i="5" s="1"/>
  <c r="E118" i="5"/>
  <c r="F118" i="5" s="1"/>
  <c r="E121" i="5"/>
  <c r="F121" i="5" s="1"/>
  <c r="E117" i="5"/>
  <c r="F117" i="5" s="1"/>
  <c r="E120" i="5"/>
  <c r="F120" i="5" s="1"/>
  <c r="E119" i="5"/>
  <c r="F119" i="5" s="1"/>
  <c r="F60" i="6"/>
  <c r="F67" i="6"/>
  <c r="C81" i="6"/>
  <c r="G70" i="6"/>
  <c r="G71" i="6" s="1"/>
  <c r="F63" i="6"/>
  <c r="E71" i="6"/>
  <c r="F64" i="6"/>
  <c r="F68" i="6"/>
  <c r="F59" i="6"/>
  <c r="F66" i="6"/>
  <c r="F61" i="6"/>
  <c r="F65" i="6"/>
  <c r="G72" i="6"/>
  <c r="D111" i="6"/>
  <c r="E120" i="6"/>
  <c r="E121" i="6"/>
  <c r="E122" i="6"/>
  <c r="E124" i="6"/>
  <c r="E123" i="6"/>
  <c r="E133" i="6"/>
  <c r="E135" i="6"/>
  <c r="E126" i="6"/>
  <c r="E128" i="6"/>
  <c r="E129" i="6"/>
  <c r="E125" i="6"/>
  <c r="E118" i="6"/>
  <c r="E131" i="6"/>
  <c r="E134" i="6"/>
  <c r="E136" i="6"/>
  <c r="E132" i="6"/>
  <c r="E127" i="6"/>
  <c r="E117" i="6"/>
  <c r="E119" i="6"/>
  <c r="E130" i="6"/>
  <c r="F124" i="5" l="1"/>
  <c r="G129" i="5" s="1"/>
  <c r="F126" i="5"/>
  <c r="F70" i="6"/>
  <c r="F71" i="6" s="1"/>
  <c r="F72" i="6"/>
  <c r="C82" i="6"/>
  <c r="C79" i="6"/>
  <c r="G74" i="6"/>
  <c r="G130" i="6"/>
  <c r="G118" i="6"/>
  <c r="G126" i="6"/>
  <c r="G124" i="6"/>
  <c r="G119" i="6"/>
  <c r="G136" i="6"/>
  <c r="G125" i="6"/>
  <c r="G135" i="6"/>
  <c r="G122" i="6"/>
  <c r="G132" i="6"/>
  <c r="E138" i="6"/>
  <c r="E139" i="6" s="1"/>
  <c r="E140" i="6"/>
  <c r="G117" i="6"/>
  <c r="G134" i="6"/>
  <c r="G129" i="6"/>
  <c r="G133" i="6"/>
  <c r="G121" i="6"/>
  <c r="G127" i="6"/>
  <c r="G131" i="6"/>
  <c r="G128" i="6"/>
  <c r="G123" i="6"/>
  <c r="G120" i="6"/>
  <c r="F125" i="5" l="1"/>
  <c r="C83" i="6"/>
  <c r="F131" i="6"/>
  <c r="F123" i="6"/>
  <c r="F117" i="6"/>
  <c r="F132" i="6"/>
  <c r="F129" i="6"/>
  <c r="F121" i="6"/>
  <c r="F136" i="6"/>
  <c r="F124" i="6"/>
  <c r="C147" i="6"/>
  <c r="G138" i="6"/>
  <c r="G140" i="6"/>
  <c r="C149" i="6"/>
  <c r="F135" i="6"/>
  <c r="F118" i="6"/>
  <c r="F120" i="6"/>
  <c r="F128" i="6"/>
  <c r="F127" i="6"/>
  <c r="F133" i="6"/>
  <c r="F134" i="6"/>
  <c r="F122" i="6"/>
  <c r="F125" i="6"/>
  <c r="F119" i="6"/>
  <c r="F130" i="6"/>
  <c r="F126" i="6"/>
  <c r="F138" i="6" l="1"/>
  <c r="F139" i="6" s="1"/>
  <c r="F140" i="6"/>
  <c r="C150" i="6"/>
  <c r="G142" i="6"/>
  <c r="G139" i="6"/>
  <c r="C152" i="6" l="1"/>
  <c r="C153" i="6"/>
  <c r="C151" i="6"/>
</calcChain>
</file>

<file path=xl/sharedStrings.xml><?xml version="1.0" encoding="utf-8"?>
<sst xmlns="http://schemas.openxmlformats.org/spreadsheetml/2006/main" count="454" uniqueCount="131">
  <si>
    <t>HPLC System Suitability Report</t>
  </si>
  <si>
    <t>Analysis Data</t>
  </si>
  <si>
    <t>Assay</t>
  </si>
  <si>
    <t>Sample(s)</t>
  </si>
  <si>
    <t>Reference Substance:</t>
  </si>
  <si>
    <t>TELITHRO 100 TABLETS</t>
  </si>
  <si>
    <t>% age Purity:</t>
  </si>
  <si>
    <t>NDQD201512640</t>
  </si>
  <si>
    <t>Weight (mg):</t>
  </si>
  <si>
    <t>Levothyroxine Sodium B.P</t>
  </si>
  <si>
    <t>Standard Conc (mg/mL):</t>
  </si>
  <si>
    <t>Each tablet contains: Levothyroxine Sodium 100 mcg</t>
  </si>
  <si>
    <t>2015-12-18 08:38:07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</si>
  <si>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</si>
  <si>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</si>
  <si>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</si>
  <si>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</si>
  <si>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</si>
  <si>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</si>
  <si>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</si>
  <si>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</si>
  <si>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</si>
  <si>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</si>
  <si>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</si>
  <si>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</si>
  <si>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</si>
  <si>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</si>
  <si>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</si>
  <si>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</si>
  <si>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</si>
  <si>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</si>
  <si>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</si>
  <si>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</si>
  <si>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</si>
  <si>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</si>
  <si>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</si>
  <si>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</si>
  <si>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</si>
  <si>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</si>
  <si>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</si>
  <si>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</si>
  <si>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</si>
  <si>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</si>
  <si>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</si>
  <si>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</si>
  <si>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</si>
  <si>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</si>
  <si>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</si>
  <si>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</si>
  <si>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</si>
  <si>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</si>
  <si>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</si>
  <si>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</si>
  <si>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</si>
  <si>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</si>
  <si>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</si>
  <si>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</si>
  <si>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</si>
  <si>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</si>
  <si>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</si>
  <si>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</si>
  <si>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</si>
  <si>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</si>
  <si>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</si>
  <si>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</si>
  <si>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</si>
  <si>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</si>
  <si>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</si>
  <si>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</si>
  <si>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</si>
  <si>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</si>
  <si>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</si>
  <si>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</si>
  <si>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</si>
  <si>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</si>
  <si>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</si>
  <si>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</si>
  <si>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</si>
  <si>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</si>
  <si>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</si>
  <si>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</si>
  <si>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</si>
  <si>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</si>
  <si>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</si>
  <si>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</si>
  <si>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</si>
  <si>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</si>
  <si>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</si>
  <si>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</si>
  <si>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</si>
  <si>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</si>
  <si>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</si>
  <si>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</si>
  <si>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</si>
  <si>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</si>
  <si>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</si>
  <si>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</si>
  <si>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</si>
  <si>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</si>
  <si>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</si>
  <si>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</si>
  <si>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</si>
  <si>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</si>
  <si>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</si>
  <si>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Standard dilution (mL):</t>
  </si>
  <si>
    <t>Desired Concetration (mg/mL):</t>
  </si>
  <si>
    <t>Initial Sample dilution (mL):</t>
  </si>
  <si>
    <t>Comment</t>
  </si>
  <si>
    <t>tablet No.</t>
  </si>
  <si>
    <t>If correction for water content is NOT needed, enter 0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</si>
  <si>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</si>
  <si>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</si>
  <si>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</si>
  <si>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</si>
  <si>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</si>
  <si>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</si>
  <si>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</si>
  <si>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</si>
  <si>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</si>
  <si>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</si>
  <si>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</si>
  <si>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</si>
  <si>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</si>
  <si>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</si>
  <si>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 and</t>
    </r>
  </si>
  <si>
    <t xml:space="preserve">No Unit Less than nor </t>
  </si>
  <si>
    <t xml:space="preserve">No Unit greater than </t>
  </si>
  <si>
    <t>Levothyroxine Sodium</t>
  </si>
  <si>
    <t>L34-1</t>
  </si>
  <si>
    <t>RUTTO/JOYFRIDA</t>
  </si>
  <si>
    <t xml:space="preserve">   Levothyroxine Sodium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</si>
</sst>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0.00\ &quot;%&quot;"/>
    <numFmt numFmtId="173" formatCode="0\ &quot;%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4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0" fontId="12" fillId="2" borderId="0" xfId="0" applyFont="1" applyFill="1" applyAlignment="1">
      <alignment horizontal="center"/>
    </xf>
    <xf numFmtId="0" fontId="15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60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32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3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61" xfId="0" applyFont="1" applyFill="1" applyBorder="1" applyAlignment="1">
      <alignment horizontal="center"/>
    </xf>
    <xf numFmtId="0" fontId="12" fillId="7" borderId="52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53" xfId="0" applyFont="1" applyFill="1" applyBorder="1" applyAlignment="1">
      <alignment horizontal="center" wrapText="1"/>
    </xf>
    <xf numFmtId="0" fontId="12" fillId="7" borderId="22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8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62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4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3" fillId="5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9" xfId="0" applyNumberFormat="1" applyFont="1" applyFill="1" applyBorder="1" applyAlignment="1">
      <alignment horizontal="center"/>
    </xf>
    <xf numFmtId="2" fontId="13" fillId="5" borderId="59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6" fillId="2" borderId="0" xfId="0" applyFont="1" applyFill="1"/>
    <xf numFmtId="0" fontId="13" fillId="3" borderId="22" xfId="0" applyFont="1" applyFill="1" applyBorder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3" fillId="3" borderId="24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3" fillId="3" borderId="46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3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3" fillId="3" borderId="7" xfId="0" applyNumberFormat="1" applyFont="1" applyFill="1" applyBorder="1" applyAlignment="1" applyProtection="1">
      <alignment horizontal="center"/>
      <protection locked="0"/>
    </xf>
    <xf numFmtId="170" fontId="12" fillId="6" borderId="48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3" fillId="3" borderId="50" xfId="0" applyFont="1" applyFill="1" applyBorder="1" applyAlignment="1" applyProtection="1">
      <alignment horizontal="center"/>
      <protection locked="0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5" xfId="0" applyFont="1" applyFill="1" applyBorder="1" applyAlignment="1">
      <alignment horizontal="right"/>
    </xf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/>
    </xf>
    <xf numFmtId="0" fontId="12" fillId="2" borderId="53" xfId="0" applyFont="1" applyFill="1" applyBorder="1"/>
    <xf numFmtId="0" fontId="12" fillId="2" borderId="22" xfId="0" applyFont="1" applyFill="1" applyBorder="1" applyAlignment="1">
      <alignment horizontal="center" wrapText="1"/>
    </xf>
    <xf numFmtId="170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4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0" fontId="12" fillId="2" borderId="0" xfId="0" applyFont="1" applyFill="1" applyAlignment="1">
      <alignment horizontal="center"/>
    </xf>
    <xf numFmtId="0" fontId="15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Alignment="1">
      <alignment vertical="center" wrapText="1"/>
    </xf>
    <xf numFmtId="2" fontId="12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60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32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3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61" xfId="0" applyFont="1" applyFill="1" applyBorder="1" applyAlignment="1">
      <alignment horizontal="center"/>
    </xf>
    <xf numFmtId="0" fontId="12" fillId="7" borderId="52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53" xfId="0" applyFont="1" applyFill="1" applyBorder="1" applyAlignment="1">
      <alignment horizontal="center" wrapText="1"/>
    </xf>
    <xf numFmtId="0" fontId="12" fillId="7" borderId="22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0" fontId="14" fillId="3" borderId="4" xfId="0" applyFont="1" applyFill="1" applyBorder="1" applyAlignment="1" applyProtection="1">
      <alignment horizontal="center" wrapText="1"/>
      <protection locked="0"/>
    </xf>
    <xf numFmtId="2" fontId="11" fillId="2" borderId="26" xfId="0" applyNumberFormat="1" applyFont="1" applyFill="1" applyBorder="1" applyAlignment="1">
      <alignment horizontal="center"/>
    </xf>
    <xf numFmtId="172" fontId="11" fillId="2" borderId="4" xfId="0" applyNumberFormat="1" applyFont="1" applyFill="1" applyBorder="1" applyAlignment="1">
      <alignment horizontal="center"/>
    </xf>
    <xf numFmtId="172" fontId="11" fillId="2" borderId="28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4" fillId="3" borderId="3" xfId="0" applyFont="1" applyFill="1" applyBorder="1" applyAlignment="1" applyProtection="1">
      <alignment horizontal="center" wrapText="1"/>
      <protection locked="0"/>
    </xf>
    <xf numFmtId="2" fontId="11" fillId="2" borderId="31" xfId="0" applyNumberFormat="1" applyFont="1" applyFill="1" applyBorder="1" applyAlignment="1">
      <alignment horizontal="center"/>
    </xf>
    <xf numFmtId="172" fontId="11" fillId="2" borderId="3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4" fillId="3" borderId="62" xfId="0" applyFont="1" applyFill="1" applyBorder="1" applyAlignment="1" applyProtection="1">
      <alignment horizontal="center" wrapText="1"/>
      <protection locked="0"/>
    </xf>
    <xf numFmtId="2" fontId="11" fillId="2" borderId="38" xfId="0" applyNumberFormat="1" applyFont="1" applyFill="1" applyBorder="1" applyAlignment="1">
      <alignment horizontal="center"/>
    </xf>
    <xf numFmtId="172" fontId="11" fillId="2" borderId="62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4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172" fontId="12" fillId="5" borderId="27" xfId="0" applyNumberFormat="1" applyFont="1" applyFill="1" applyBorder="1" applyAlignment="1">
      <alignment horizontal="center"/>
    </xf>
    <xf numFmtId="172" fontId="13" fillId="5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1" fontId="12" fillId="5" borderId="59" xfId="0" applyNumberFormat="1" applyFont="1" applyFill="1" applyBorder="1" applyAlignment="1">
      <alignment horizontal="center"/>
    </xf>
    <xf numFmtId="1" fontId="13" fillId="5" borderId="59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1" fontId="12" fillId="6" borderId="37" xfId="0" applyNumberFormat="1" applyFont="1" applyFill="1" applyBorder="1" applyAlignment="1" applyProtection="1">
      <alignment horizontal="center"/>
      <protection locked="0"/>
    </xf>
    <xf numFmtId="0" fontId="13" fillId="3" borderId="63" xfId="0" applyFont="1" applyFill="1" applyBorder="1" applyAlignment="1" applyProtection="1">
      <alignment horizontal="center"/>
      <protection locked="0"/>
    </xf>
    <xf numFmtId="0" fontId="12" fillId="7" borderId="53" xfId="0" applyFont="1" applyFill="1" applyBorder="1" applyAlignment="1">
      <alignment horizontal="center"/>
    </xf>
    <xf numFmtId="0" fontId="13" fillId="3" borderId="31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>
      <alignment horizontal="center"/>
    </xf>
    <xf numFmtId="0" fontId="14" fillId="3" borderId="26" xfId="0" applyFont="1" applyFill="1" applyBorder="1" applyAlignment="1" applyProtection="1">
      <alignment horizontal="center" wrapText="1"/>
      <protection locked="0"/>
    </xf>
    <xf numFmtId="0" fontId="11" fillId="2" borderId="47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 wrapText="1"/>
      <protection locked="0"/>
    </xf>
    <xf numFmtId="0" fontId="11" fillId="2" borderId="38" xfId="0" applyFont="1" applyFill="1" applyBorder="1" applyAlignment="1">
      <alignment horizontal="center"/>
    </xf>
    <xf numFmtId="0" fontId="18" fillId="2" borderId="23" xfId="0" applyFont="1" applyFill="1" applyBorder="1" applyAlignment="1">
      <alignment vertical="center" wrapText="1"/>
    </xf>
    <xf numFmtId="0" fontId="11" fillId="2" borderId="5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 wrapText="1"/>
      <protection locked="0"/>
    </xf>
    <xf numFmtId="2" fontId="11" fillId="2" borderId="35" xfId="0" applyNumberFormat="1" applyFont="1" applyFill="1" applyBorder="1" applyAlignment="1">
      <alignment horizontal="center"/>
    </xf>
    <xf numFmtId="172" fontId="11" fillId="2" borderId="5" xfId="0" applyNumberFormat="1" applyFont="1" applyFill="1" applyBorder="1" applyAlignment="1">
      <alignment horizontal="center"/>
    </xf>
    <xf numFmtId="172" fontId="11" fillId="2" borderId="33" xfId="0" applyNumberFormat="1" applyFont="1" applyFill="1" applyBorder="1" applyAlignment="1">
      <alignment horizontal="center"/>
    </xf>
    <xf numFmtId="172" fontId="6" fillId="2" borderId="0" xfId="0" applyNumberFormat="1" applyFont="1" applyFill="1"/>
    <xf numFmtId="172" fontId="11" fillId="2" borderId="24" xfId="0" applyNumberFormat="1" applyFont="1" applyFill="1" applyBorder="1"/>
    <xf numFmtId="2" fontId="12" fillId="5" borderId="16" xfId="0" applyNumberFormat="1" applyFont="1" applyFill="1" applyBorder="1" applyAlignment="1">
      <alignment horizontal="center"/>
    </xf>
    <xf numFmtId="172" fontId="12" fillId="5" borderId="50" xfId="0" applyNumberFormat="1" applyFont="1" applyFill="1" applyBorder="1" applyAlignment="1">
      <alignment horizontal="center"/>
    </xf>
    <xf numFmtId="172" fontId="13" fillId="5" borderId="50" xfId="0" applyNumberFormat="1" applyFont="1" applyFill="1" applyBorder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1" fontId="12" fillId="5" borderId="17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2" fontId="11" fillId="2" borderId="27" xfId="0" applyNumberFormat="1" applyFont="1" applyFill="1" applyBorder="1" applyAlignment="1">
      <alignment horizontal="center"/>
    </xf>
    <xf numFmtId="0" fontId="14" fillId="3" borderId="27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>
      <alignment horizontal="right"/>
    </xf>
    <xf numFmtId="2" fontId="11" fillId="2" borderId="30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" fontId="12" fillId="7" borderId="50" xfId="0" applyNumberFormat="1" applyFont="1" applyFill="1" applyBorder="1" applyAlignment="1">
      <alignment horizontal="center"/>
    </xf>
    <xf numFmtId="173" fontId="12" fillId="6" borderId="27" xfId="0" applyNumberFormat="1" applyFont="1" applyFill="1" applyBorder="1" applyAlignment="1">
      <alignment horizontal="center"/>
    </xf>
    <xf numFmtId="0" fontId="11" fillId="2" borderId="37" xfId="0" applyFont="1" applyFill="1" applyBorder="1" applyAlignment="1">
      <alignment horizontal="right"/>
    </xf>
    <xf numFmtId="173" fontId="12" fillId="7" borderId="59" xfId="0" applyNumberFormat="1" applyFont="1" applyFill="1" applyBorder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right"/>
      <protection locked="0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2" fillId="2" borderId="45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14" fontId="2" fillId="2" borderId="7" xfId="0" applyNumberFormat="1" applyFont="1" applyFill="1" applyBorder="1"/>
  </cellXfs>
  <cellStyles count="1">
    <cellStyle name="Normal" xfId="0" builtinId="0"/>
  </cellStyles>
  <dxfs count="54"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6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43" t="s">
        <v>0</v>
      </c>
      <c r="B15" s="443"/>
      <c r="C15" s="443"/>
      <c r="D15" s="443"/>
      <c r="E15" s="44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v>20</v>
      </c>
      <c r="C20" s="10"/>
      <c r="D20" s="10"/>
      <c r="E20" s="10"/>
    </row>
    <row r="21" spans="1:6" ht="16.5" customHeight="1" x14ac:dyDescent="0.3">
      <c r="A21" s="7" t="s">
        <v>10</v>
      </c>
      <c r="B21" s="13">
        <f>20/50*1/100</f>
        <v>4.0000000000000001E-3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3813695</v>
      </c>
      <c r="C24" s="18">
        <v>6419.83</v>
      </c>
      <c r="D24" s="19">
        <v>1.22</v>
      </c>
      <c r="E24" s="20">
        <v>3.3</v>
      </c>
    </row>
    <row r="25" spans="1:6" ht="16.5" customHeight="1" x14ac:dyDescent="0.3">
      <c r="A25" s="17">
        <v>2</v>
      </c>
      <c r="B25" s="18">
        <v>3813311</v>
      </c>
      <c r="C25" s="18">
        <v>6446.65</v>
      </c>
      <c r="D25" s="19">
        <v>1.19</v>
      </c>
      <c r="E25" s="19">
        <v>3.3</v>
      </c>
    </row>
    <row r="26" spans="1:6" ht="16.5" customHeight="1" x14ac:dyDescent="0.3">
      <c r="A26" s="17">
        <v>3</v>
      </c>
      <c r="B26" s="18">
        <v>3819873</v>
      </c>
      <c r="C26" s="18">
        <v>6411.35</v>
      </c>
      <c r="D26" s="19">
        <v>1.23</v>
      </c>
      <c r="E26" s="19">
        <v>3.3</v>
      </c>
    </row>
    <row r="27" spans="1:6" ht="16.5" customHeight="1" x14ac:dyDescent="0.3">
      <c r="A27" s="17">
        <v>4</v>
      </c>
      <c r="B27" s="18">
        <v>3816380</v>
      </c>
      <c r="C27" s="18">
        <v>6424.14</v>
      </c>
      <c r="D27" s="19">
        <v>1.23</v>
      </c>
      <c r="E27" s="19">
        <v>3.3</v>
      </c>
    </row>
    <row r="28" spans="1:6" ht="16.5" customHeight="1" x14ac:dyDescent="0.3">
      <c r="A28" s="17">
        <v>5</v>
      </c>
      <c r="B28" s="18">
        <v>3818247</v>
      </c>
      <c r="C28" s="18">
        <v>6448.51</v>
      </c>
      <c r="D28" s="19">
        <v>1.2</v>
      </c>
      <c r="E28" s="19">
        <v>3.3</v>
      </c>
    </row>
    <row r="29" spans="1:6" ht="16.5" customHeight="1" x14ac:dyDescent="0.3">
      <c r="A29" s="17">
        <v>6</v>
      </c>
      <c r="B29" s="21">
        <v>3807597</v>
      </c>
      <c r="C29" s="21">
        <v>6445.6</v>
      </c>
      <c r="D29" s="22">
        <v>1.23</v>
      </c>
      <c r="E29" s="22">
        <v>3.29</v>
      </c>
    </row>
    <row r="30" spans="1:6" ht="16.5" customHeight="1" x14ac:dyDescent="0.3">
      <c r="A30" s="23" t="s">
        <v>18</v>
      </c>
      <c r="B30" s="24">
        <f>AVERAGE(B24:B29)</f>
        <v>3814850.5</v>
      </c>
      <c r="C30" s="25">
        <f>AVERAGE(C24:C29)</f>
        <v>6432.68</v>
      </c>
      <c r="D30" s="26">
        <f>AVERAGE(D24:D29)</f>
        <v>1.2166666666666668</v>
      </c>
      <c r="E30" s="26">
        <f>AVERAGE(E24:E29)</f>
        <v>3.2983333333333333</v>
      </c>
    </row>
    <row r="31" spans="1:6" ht="16.5" customHeight="1" x14ac:dyDescent="0.3">
      <c r="A31" s="27" t="s">
        <v>19</v>
      </c>
      <c r="B31" s="28">
        <f>(STDEV(B24:B29)/B30)</f>
        <v>1.1451338465622923E-3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</v>
      </c>
      <c r="C41" s="10"/>
      <c r="D41" s="10"/>
      <c r="E41" s="10"/>
    </row>
    <row r="42" spans="1:6" ht="16.5" customHeight="1" x14ac:dyDescent="0.3">
      <c r="A42" s="7" t="s">
        <v>10</v>
      </c>
      <c r="B42" s="13">
        <f>20/50*3/100*1/100</f>
        <v>1.2000000000000002E-4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633010</v>
      </c>
      <c r="C45" s="18">
        <v>6319.25</v>
      </c>
      <c r="D45" s="19">
        <v>1.1100000000000001</v>
      </c>
      <c r="E45" s="20">
        <v>5.46</v>
      </c>
    </row>
    <row r="46" spans="1:6" ht="16.5" customHeight="1" x14ac:dyDescent="0.3">
      <c r="A46" s="17">
        <v>2</v>
      </c>
      <c r="B46" s="18">
        <v>635509</v>
      </c>
      <c r="C46" s="18">
        <v>6365.7</v>
      </c>
      <c r="D46" s="19">
        <v>1.1399999999999999</v>
      </c>
      <c r="E46" s="19">
        <v>5.45</v>
      </c>
    </row>
    <row r="47" spans="1:6" ht="16.5" customHeight="1" x14ac:dyDescent="0.3">
      <c r="A47" s="17">
        <v>3</v>
      </c>
      <c r="B47" s="18">
        <v>633244</v>
      </c>
      <c r="C47" s="18">
        <v>6387.21</v>
      </c>
      <c r="D47" s="19">
        <v>1.1299999999999999</v>
      </c>
      <c r="E47" s="19">
        <v>5.45</v>
      </c>
    </row>
    <row r="48" spans="1:6" ht="16.5" customHeight="1" x14ac:dyDescent="0.3">
      <c r="A48" s="17">
        <v>4</v>
      </c>
      <c r="B48" s="18">
        <v>635547</v>
      </c>
      <c r="C48" s="18">
        <v>6371.37</v>
      </c>
      <c r="D48" s="19">
        <v>1.1299999999999999</v>
      </c>
      <c r="E48" s="19">
        <v>5.45</v>
      </c>
    </row>
    <row r="49" spans="1:7" ht="16.5" customHeight="1" x14ac:dyDescent="0.3">
      <c r="A49" s="17">
        <v>5</v>
      </c>
      <c r="B49" s="18">
        <v>634239</v>
      </c>
      <c r="C49" s="18">
        <v>6368.46</v>
      </c>
      <c r="D49" s="19">
        <v>1.1299999999999999</v>
      </c>
      <c r="E49" s="19">
        <v>5.46</v>
      </c>
    </row>
    <row r="50" spans="1:7" ht="16.5" customHeight="1" x14ac:dyDescent="0.3">
      <c r="A50" s="17">
        <v>6</v>
      </c>
      <c r="B50" s="21">
        <v>634294</v>
      </c>
      <c r="C50" s="21">
        <v>6332.93</v>
      </c>
      <c r="D50" s="22">
        <v>1.1299999999999999</v>
      </c>
      <c r="E50" s="22">
        <v>5.46</v>
      </c>
    </row>
    <row r="51" spans="1:7" ht="16.5" customHeight="1" x14ac:dyDescent="0.3">
      <c r="A51" s="23" t="s">
        <v>18</v>
      </c>
      <c r="B51" s="24">
        <f>AVERAGE(B45:B50)</f>
        <v>634307.16666666663</v>
      </c>
      <c r="C51" s="25">
        <f>AVERAGE(C45:C50)</f>
        <v>6357.4866666666667</v>
      </c>
      <c r="D51" s="26">
        <f>AVERAGE(D45:D50)</f>
        <v>1.1283333333333332</v>
      </c>
      <c r="E51" s="26">
        <f>AVERAGE(E45:E50)</f>
        <v>5.4549999999999992</v>
      </c>
    </row>
    <row r="52" spans="1:7" ht="16.5" customHeight="1" x14ac:dyDescent="0.3">
      <c r="A52" s="27" t="s">
        <v>19</v>
      </c>
      <c r="B52" s="28">
        <f>(STDEV(B45:B50)/B51)</f>
        <v>1.6978759995011168E-3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44" t="s">
        <v>26</v>
      </c>
      <c r="C59" s="44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129</v>
      </c>
      <c r="C60" s="48"/>
      <c r="E60" s="479">
        <v>42557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0" workbookViewId="0">
      <selection activeCell="F23" sqref="F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48" t="s">
        <v>31</v>
      </c>
      <c r="B11" s="449"/>
      <c r="C11" s="449"/>
      <c r="D11" s="449"/>
      <c r="E11" s="449"/>
      <c r="F11" s="450"/>
      <c r="G11" s="91"/>
    </row>
    <row r="12" spans="1:7" ht="16.5" customHeight="1" x14ac:dyDescent="0.3">
      <c r="A12" s="447" t="s">
        <v>32</v>
      </c>
      <c r="B12" s="447"/>
      <c r="C12" s="447"/>
      <c r="D12" s="447"/>
      <c r="E12" s="447"/>
      <c r="F12" s="447"/>
      <c r="G12" s="90"/>
    </row>
    <row r="14" spans="1:7" ht="16.5" customHeight="1" x14ac:dyDescent="0.3">
      <c r="A14" s="452" t="s">
        <v>33</v>
      </c>
      <c r="B14" s="452"/>
      <c r="C14" s="60" t="s">
        <v>5</v>
      </c>
    </row>
    <row r="15" spans="1:7" ht="16.5" customHeight="1" x14ac:dyDescent="0.3">
      <c r="A15" s="452" t="s">
        <v>34</v>
      </c>
      <c r="B15" s="452"/>
      <c r="C15" s="60" t="s">
        <v>7</v>
      </c>
    </row>
    <row r="16" spans="1:7" ht="16.5" customHeight="1" x14ac:dyDescent="0.3">
      <c r="A16" s="452" t="s">
        <v>35</v>
      </c>
      <c r="B16" s="452"/>
      <c r="C16" s="60" t="s">
        <v>9</v>
      </c>
    </row>
    <row r="17" spans="1:5" ht="16.5" customHeight="1" x14ac:dyDescent="0.3">
      <c r="A17" s="452" t="s">
        <v>36</v>
      </c>
      <c r="B17" s="452"/>
      <c r="C17" s="60" t="s">
        <v>11</v>
      </c>
    </row>
    <row r="18" spans="1:5" ht="16.5" customHeight="1" x14ac:dyDescent="0.3">
      <c r="A18" s="452" t="s">
        <v>37</v>
      </c>
      <c r="B18" s="452"/>
      <c r="C18" s="97" t="s">
        <v>12</v>
      </c>
    </row>
    <row r="19" spans="1:5" ht="16.5" customHeight="1" x14ac:dyDescent="0.3">
      <c r="A19" s="452" t="s">
        <v>38</v>
      </c>
      <c r="B19" s="45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47" t="s">
        <v>1</v>
      </c>
      <c r="B21" s="447"/>
      <c r="C21" s="59" t="s">
        <v>39</v>
      </c>
      <c r="D21" s="66"/>
    </row>
    <row r="22" spans="1:5" ht="15.75" customHeight="1" x14ac:dyDescent="0.3">
      <c r="A22" s="451"/>
      <c r="B22" s="451"/>
      <c r="C22" s="57"/>
      <c r="D22" s="451"/>
      <c r="E22" s="45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113.03</v>
      </c>
      <c r="D24" s="87">
        <f t="shared" ref="D24:D43" si="0">(C24-$C$46)/$C$46</f>
        <v>-3.3105218135158293E-2</v>
      </c>
      <c r="E24" s="53"/>
    </row>
    <row r="25" spans="1:5" ht="15.75" customHeight="1" x14ac:dyDescent="0.3">
      <c r="C25" s="95">
        <v>113.08</v>
      </c>
      <c r="D25" s="88">
        <f t="shared" si="0"/>
        <v>-3.2677502138580047E-2</v>
      </c>
      <c r="E25" s="53"/>
    </row>
    <row r="26" spans="1:5" ht="15.75" customHeight="1" x14ac:dyDescent="0.3">
      <c r="C26" s="95">
        <v>117.53</v>
      </c>
      <c r="D26" s="88">
        <f t="shared" si="0"/>
        <v>5.3892215568861887E-3</v>
      </c>
      <c r="E26" s="53"/>
    </row>
    <row r="27" spans="1:5" ht="15.75" customHeight="1" x14ac:dyDescent="0.3">
      <c r="C27" s="95">
        <v>115.95</v>
      </c>
      <c r="D27" s="88">
        <f t="shared" si="0"/>
        <v>-8.1266039349871932E-3</v>
      </c>
      <c r="E27" s="53"/>
    </row>
    <row r="28" spans="1:5" ht="15.75" customHeight="1" x14ac:dyDescent="0.3">
      <c r="C28" s="95">
        <v>113.98</v>
      </c>
      <c r="D28" s="88">
        <f t="shared" si="0"/>
        <v>-2.4978614200171098E-2</v>
      </c>
      <c r="E28" s="53"/>
    </row>
    <row r="29" spans="1:5" ht="15.75" customHeight="1" x14ac:dyDescent="0.3">
      <c r="C29" s="95">
        <v>113.55</v>
      </c>
      <c r="D29" s="88">
        <f t="shared" si="0"/>
        <v>-2.8656971770744298E-2</v>
      </c>
      <c r="E29" s="53"/>
    </row>
    <row r="30" spans="1:5" ht="15.75" customHeight="1" x14ac:dyDescent="0.3">
      <c r="C30" s="95">
        <v>113.9</v>
      </c>
      <c r="D30" s="88">
        <f t="shared" si="0"/>
        <v>-2.5662959794696322E-2</v>
      </c>
      <c r="E30" s="53"/>
    </row>
    <row r="31" spans="1:5" ht="15.75" customHeight="1" x14ac:dyDescent="0.3">
      <c r="C31" s="95">
        <v>118.16</v>
      </c>
      <c r="D31" s="88">
        <f t="shared" si="0"/>
        <v>1.0778443113772377E-2</v>
      </c>
      <c r="E31" s="53"/>
    </row>
    <row r="32" spans="1:5" ht="15.75" customHeight="1" x14ac:dyDescent="0.3">
      <c r="C32" s="95">
        <v>110.59</v>
      </c>
      <c r="D32" s="88">
        <f t="shared" si="0"/>
        <v>-5.3977758768177946E-2</v>
      </c>
      <c r="E32" s="53"/>
    </row>
    <row r="33" spans="1:7" ht="15.75" customHeight="1" x14ac:dyDescent="0.3">
      <c r="C33" s="95">
        <v>114.35</v>
      </c>
      <c r="D33" s="88">
        <f t="shared" si="0"/>
        <v>-2.1813515825491969E-2</v>
      </c>
      <c r="E33" s="53"/>
    </row>
    <row r="34" spans="1:7" ht="15.75" customHeight="1" x14ac:dyDescent="0.3">
      <c r="C34" s="95">
        <v>116.47</v>
      </c>
      <c r="D34" s="88">
        <f t="shared" si="0"/>
        <v>-3.6783575705731978E-3</v>
      </c>
      <c r="E34" s="53"/>
    </row>
    <row r="35" spans="1:7" ht="15.75" customHeight="1" x14ac:dyDescent="0.3">
      <c r="C35" s="95">
        <v>116.88</v>
      </c>
      <c r="D35" s="88">
        <f t="shared" si="0"/>
        <v>-1.7108639863139632E-4</v>
      </c>
      <c r="E35" s="53"/>
    </row>
    <row r="36" spans="1:7" ht="15.75" customHeight="1" x14ac:dyDescent="0.3">
      <c r="C36" s="95">
        <v>119.66</v>
      </c>
      <c r="D36" s="88">
        <f t="shared" si="0"/>
        <v>2.3609923011120536E-2</v>
      </c>
      <c r="E36" s="53"/>
    </row>
    <row r="37" spans="1:7" ht="15.75" customHeight="1" x14ac:dyDescent="0.3">
      <c r="C37" s="95">
        <v>121.13</v>
      </c>
      <c r="D37" s="88">
        <f t="shared" si="0"/>
        <v>3.6184773310521723E-2</v>
      </c>
      <c r="E37" s="53"/>
    </row>
    <row r="38" spans="1:7" ht="15.75" customHeight="1" x14ac:dyDescent="0.3">
      <c r="C38" s="95">
        <v>123.02</v>
      </c>
      <c r="D38" s="88">
        <f t="shared" si="0"/>
        <v>5.2352437981180409E-2</v>
      </c>
      <c r="E38" s="53"/>
    </row>
    <row r="39" spans="1:7" ht="15.75" customHeight="1" x14ac:dyDescent="0.3">
      <c r="C39" s="95">
        <v>122.4</v>
      </c>
      <c r="D39" s="88">
        <f t="shared" si="0"/>
        <v>4.7048759623609923E-2</v>
      </c>
      <c r="E39" s="53"/>
    </row>
    <row r="40" spans="1:7" ht="15.75" customHeight="1" x14ac:dyDescent="0.3">
      <c r="C40" s="95">
        <v>123</v>
      </c>
      <c r="D40" s="88">
        <f t="shared" si="0"/>
        <v>5.2181351582549135E-2</v>
      </c>
      <c r="E40" s="53"/>
    </row>
    <row r="41" spans="1:7" ht="15.75" customHeight="1" x14ac:dyDescent="0.3">
      <c r="C41" s="95">
        <v>119.29</v>
      </c>
      <c r="D41" s="88">
        <f t="shared" si="0"/>
        <v>2.0444824636441407E-2</v>
      </c>
      <c r="E41" s="53"/>
    </row>
    <row r="42" spans="1:7" ht="15.75" customHeight="1" x14ac:dyDescent="0.3">
      <c r="C42" s="95">
        <v>117.61</v>
      </c>
      <c r="D42" s="88">
        <f t="shared" si="0"/>
        <v>6.0735671514114088E-3</v>
      </c>
      <c r="E42" s="53"/>
    </row>
    <row r="43" spans="1:7" ht="16.5" customHeight="1" x14ac:dyDescent="0.3">
      <c r="C43" s="96">
        <v>114.42</v>
      </c>
      <c r="D43" s="89">
        <f t="shared" si="0"/>
        <v>-2.1214713430282327E-2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2338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116.9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45">
        <f>C46</f>
        <v>116.9</v>
      </c>
      <c r="C49" s="93">
        <f>-IF(C46&lt;=80,10%,IF(C46&lt;250,7.5%,5%))</f>
        <v>-7.4999999999999997E-2</v>
      </c>
      <c r="D49" s="81">
        <f>IF(C46&lt;=80,C46*0.9,IF(C46&lt;250,C46*0.925,C46*0.95))</f>
        <v>108.13250000000001</v>
      </c>
    </row>
    <row r="50" spans="1:6" ht="17.25" customHeight="1" x14ac:dyDescent="0.3">
      <c r="B50" s="446"/>
      <c r="C50" s="94">
        <f>IF(C46&lt;=80, 10%, IF(C46&lt;250, 7.5%, 5%))</f>
        <v>7.4999999999999997E-2</v>
      </c>
      <c r="D50" s="81">
        <f>IF(C46&lt;=80, C46*1.1, IF(C46&lt;250, C46*1.075, C46*1.05))</f>
        <v>125.6675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zoomScale="60" zoomScaleNormal="70" workbookViewId="0">
      <selection sqref="A1:H13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53" t="s">
        <v>45</v>
      </c>
      <c r="B1" s="453"/>
      <c r="C1" s="453"/>
      <c r="D1" s="453"/>
      <c r="E1" s="453"/>
      <c r="F1" s="453"/>
      <c r="G1" s="453"/>
    </row>
    <row r="2" spans="1:7" x14ac:dyDescent="0.2">
      <c r="A2" s="453"/>
      <c r="B2" s="453"/>
      <c r="C2" s="453"/>
      <c r="D2" s="453"/>
      <c r="E2" s="453"/>
      <c r="F2" s="453"/>
      <c r="G2" s="453"/>
    </row>
    <row r="3" spans="1:7" x14ac:dyDescent="0.2">
      <c r="A3" s="453"/>
      <c r="B3" s="453"/>
      <c r="C3" s="453"/>
      <c r="D3" s="453"/>
      <c r="E3" s="453"/>
      <c r="F3" s="453"/>
      <c r="G3" s="453"/>
    </row>
    <row r="4" spans="1:7" x14ac:dyDescent="0.2">
      <c r="A4" s="453"/>
      <c r="B4" s="453"/>
      <c r="C4" s="453"/>
      <c r="D4" s="453"/>
      <c r="E4" s="453"/>
      <c r="F4" s="453"/>
      <c r="G4" s="453"/>
    </row>
    <row r="5" spans="1:7" x14ac:dyDescent="0.2">
      <c r="A5" s="453"/>
      <c r="B5" s="453"/>
      <c r="C5" s="453"/>
      <c r="D5" s="453"/>
      <c r="E5" s="453"/>
      <c r="F5" s="453"/>
      <c r="G5" s="453"/>
    </row>
    <row r="6" spans="1:7" x14ac:dyDescent="0.2">
      <c r="A6" s="453"/>
      <c r="B6" s="453"/>
      <c r="C6" s="453"/>
      <c r="D6" s="453"/>
      <c r="E6" s="453"/>
      <c r="F6" s="453"/>
      <c r="G6" s="453"/>
    </row>
    <row r="7" spans="1:7" x14ac:dyDescent="0.2">
      <c r="A7" s="453"/>
      <c r="B7" s="453"/>
      <c r="C7" s="453"/>
      <c r="D7" s="453"/>
      <c r="E7" s="453"/>
      <c r="F7" s="453"/>
      <c r="G7" s="453"/>
    </row>
    <row r="8" spans="1:7" x14ac:dyDescent="0.2">
      <c r="A8" s="454" t="s">
        <v>46</v>
      </c>
      <c r="B8" s="454"/>
      <c r="C8" s="454"/>
      <c r="D8" s="454"/>
      <c r="E8" s="454"/>
      <c r="F8" s="454"/>
      <c r="G8" s="454"/>
    </row>
    <row r="9" spans="1:7" x14ac:dyDescent="0.2">
      <c r="A9" s="454"/>
      <c r="B9" s="454"/>
      <c r="C9" s="454"/>
      <c r="D9" s="454"/>
      <c r="E9" s="454"/>
      <c r="F9" s="454"/>
      <c r="G9" s="454"/>
    </row>
    <row r="10" spans="1:7" x14ac:dyDescent="0.2">
      <c r="A10" s="454"/>
      <c r="B10" s="454"/>
      <c r="C10" s="454"/>
      <c r="D10" s="454"/>
      <c r="E10" s="454"/>
      <c r="F10" s="454"/>
      <c r="G10" s="454"/>
    </row>
    <row r="11" spans="1:7" x14ac:dyDescent="0.2">
      <c r="A11" s="454"/>
      <c r="B11" s="454"/>
      <c r="C11" s="454"/>
      <c r="D11" s="454"/>
      <c r="E11" s="454"/>
      <c r="F11" s="454"/>
      <c r="G11" s="454"/>
    </row>
    <row r="12" spans="1:7" x14ac:dyDescent="0.2">
      <c r="A12" s="454"/>
      <c r="B12" s="454"/>
      <c r="C12" s="454"/>
      <c r="D12" s="454"/>
      <c r="E12" s="454"/>
      <c r="F12" s="454"/>
      <c r="G12" s="454"/>
    </row>
    <row r="13" spans="1:7" x14ac:dyDescent="0.2">
      <c r="A13" s="454"/>
      <c r="B13" s="454"/>
      <c r="C13" s="454"/>
      <c r="D13" s="454"/>
      <c r="E13" s="454"/>
      <c r="F13" s="454"/>
      <c r="G13" s="454"/>
    </row>
    <row r="14" spans="1:7" x14ac:dyDescent="0.2">
      <c r="A14" s="454"/>
      <c r="B14" s="454"/>
      <c r="C14" s="454"/>
      <c r="D14" s="454"/>
      <c r="E14" s="454"/>
      <c r="F14" s="454"/>
      <c r="G14" s="454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476" t="s">
        <v>31</v>
      </c>
      <c r="B16" s="477"/>
      <c r="C16" s="477"/>
      <c r="D16" s="477"/>
      <c r="E16" s="477"/>
      <c r="F16" s="477"/>
      <c r="G16" s="477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469" t="s">
        <v>5</v>
      </c>
      <c r="C18" s="469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5" t="s">
        <v>7</v>
      </c>
      <c r="C19" s="98">
        <v>12</v>
      </c>
      <c r="E19" s="98"/>
      <c r="F19" s="98"/>
      <c r="G19" s="98"/>
    </row>
    <row r="20" spans="1:7" ht="26.25" customHeight="1" x14ac:dyDescent="0.4">
      <c r="A20" s="100" t="s">
        <v>35</v>
      </c>
      <c r="B20" s="470" t="s">
        <v>127</v>
      </c>
      <c r="C20" s="470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>
        <v>42521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>
        <v>42523</v>
      </c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469" t="s">
        <v>127</v>
      </c>
      <c r="C26" s="469"/>
      <c r="D26" s="98"/>
      <c r="E26" s="98"/>
      <c r="F26" s="98"/>
      <c r="G26" s="98"/>
    </row>
    <row r="27" spans="1:7" ht="26.25" customHeight="1" x14ac:dyDescent="0.4">
      <c r="A27" s="109" t="s">
        <v>48</v>
      </c>
      <c r="B27" s="470" t="s">
        <v>128</v>
      </c>
      <c r="C27" s="470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99.58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456" t="s">
        <v>109</v>
      </c>
      <c r="D29" s="457"/>
      <c r="E29" s="457"/>
      <c r="F29" s="457"/>
      <c r="G29" s="474"/>
    </row>
    <row r="30" spans="1:7" ht="19.5" customHeight="1" x14ac:dyDescent="0.3">
      <c r="A30" s="109" t="s">
        <v>51</v>
      </c>
      <c r="B30" s="113">
        <f>B28-B29</f>
        <v>99.58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1</v>
      </c>
      <c r="C31" s="456" t="s">
        <v>53</v>
      </c>
      <c r="D31" s="457"/>
      <c r="E31" s="457"/>
      <c r="F31" s="457"/>
      <c r="G31" s="474"/>
    </row>
    <row r="32" spans="1:7" ht="27" customHeight="1" x14ac:dyDescent="0.4">
      <c r="A32" s="109" t="s">
        <v>54</v>
      </c>
      <c r="B32" s="115">
        <v>1</v>
      </c>
      <c r="C32" s="456" t="s">
        <v>55</v>
      </c>
      <c r="D32" s="457"/>
      <c r="E32" s="457"/>
      <c r="F32" s="457"/>
      <c r="G32" s="474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104</v>
      </c>
      <c r="B36" s="120">
        <v>50</v>
      </c>
      <c r="C36" s="98"/>
      <c r="D36" s="458" t="s">
        <v>58</v>
      </c>
      <c r="E36" s="475"/>
      <c r="F36" s="458" t="s">
        <v>59</v>
      </c>
      <c r="G36" s="459"/>
    </row>
    <row r="37" spans="1:7" ht="26.25" customHeight="1" x14ac:dyDescent="0.4">
      <c r="A37" s="121" t="s">
        <v>60</v>
      </c>
      <c r="B37" s="122">
        <v>1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</row>
    <row r="38" spans="1:7" ht="26.25" customHeight="1" x14ac:dyDescent="0.4">
      <c r="A38" s="121" t="s">
        <v>64</v>
      </c>
      <c r="B38" s="122">
        <v>100</v>
      </c>
      <c r="C38" s="127">
        <v>1</v>
      </c>
      <c r="D38" s="128">
        <v>3799323</v>
      </c>
      <c r="E38" s="129">
        <f>IF(ISBLANK(D38),"-",$D$48/$D$45*D38)</f>
        <v>4098117.5717821503</v>
      </c>
      <c r="F38" s="128">
        <v>4537452</v>
      </c>
      <c r="G38" s="130">
        <f>IF(ISBLANK(F38),"-",$D$48/$F$45*F38)</f>
        <v>4207377.3560867002</v>
      </c>
    </row>
    <row r="39" spans="1:7" ht="26.25" customHeight="1" x14ac:dyDescent="0.4">
      <c r="A39" s="121" t="s">
        <v>65</v>
      </c>
      <c r="B39" s="122">
        <v>1</v>
      </c>
      <c r="C39" s="131">
        <v>2</v>
      </c>
      <c r="D39" s="132">
        <v>3802848</v>
      </c>
      <c r="E39" s="133">
        <f>IF(ISBLANK(D39),"-",$D$48/$D$45*D39)</f>
        <v>4101919.7924516043</v>
      </c>
      <c r="F39" s="132">
        <v>4539345</v>
      </c>
      <c r="G39" s="134">
        <f>IF(ISBLANK(F39),"-",$D$48/$F$45*F39)</f>
        <v>4209132.6507620094</v>
      </c>
    </row>
    <row r="40" spans="1:7" ht="26.25" customHeight="1" x14ac:dyDescent="0.4">
      <c r="A40" s="121" t="s">
        <v>66</v>
      </c>
      <c r="B40" s="122">
        <v>1</v>
      </c>
      <c r="C40" s="131">
        <v>3</v>
      </c>
      <c r="D40" s="132">
        <v>3808401</v>
      </c>
      <c r="E40" s="133">
        <f>IF(ISBLANK(D40),"-",$D$48/$D$45*D40)</f>
        <v>4107909.5034806761</v>
      </c>
      <c r="F40" s="132">
        <v>4533244</v>
      </c>
      <c r="G40" s="134">
        <f>IF(ISBLANK(F40),"-",$D$48/$F$45*F40)</f>
        <v>4203475.4649120029</v>
      </c>
    </row>
    <row r="41" spans="1:7" ht="26.25" customHeight="1" x14ac:dyDescent="0.4">
      <c r="A41" s="121" t="s">
        <v>67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68</v>
      </c>
      <c r="B42" s="122">
        <v>1</v>
      </c>
      <c r="C42" s="139" t="s">
        <v>69</v>
      </c>
      <c r="D42" s="140">
        <f>AVERAGE(D38:D41)</f>
        <v>3803524</v>
      </c>
      <c r="E42" s="141">
        <f>AVERAGE(E38:E41)</f>
        <v>4102648.9559048102</v>
      </c>
      <c r="F42" s="140">
        <f>AVERAGE(F38:F41)</f>
        <v>4536680.333333333</v>
      </c>
      <c r="G42" s="142">
        <f>AVERAGE(G38:G41)</f>
        <v>4206661.8239202378</v>
      </c>
    </row>
    <row r="43" spans="1:7" ht="26.25" customHeight="1" x14ac:dyDescent="0.4">
      <c r="A43" s="121" t="s">
        <v>70</v>
      </c>
      <c r="B43" s="122">
        <v>1</v>
      </c>
      <c r="C43" s="143" t="s">
        <v>96</v>
      </c>
      <c r="D43" s="144">
        <v>18.62</v>
      </c>
      <c r="E43" s="145"/>
      <c r="F43" s="144">
        <v>21.66</v>
      </c>
      <c r="G43" s="98"/>
    </row>
    <row r="44" spans="1:7" ht="26.25" customHeight="1" x14ac:dyDescent="0.4">
      <c r="A44" s="121" t="s">
        <v>71</v>
      </c>
      <c r="B44" s="122">
        <v>1</v>
      </c>
      <c r="C44" s="146" t="s">
        <v>97</v>
      </c>
      <c r="D44" s="147">
        <f>D43*$B$34</f>
        <v>18.62</v>
      </c>
      <c r="E44" s="148"/>
      <c r="F44" s="147">
        <f>F43*$B$34</f>
        <v>21.66</v>
      </c>
      <c r="G44" s="98"/>
    </row>
    <row r="45" spans="1:7" ht="19.5" customHeight="1" x14ac:dyDescent="0.3">
      <c r="A45" s="121" t="s">
        <v>72</v>
      </c>
      <c r="B45" s="149">
        <f>(B44/B43)*(B42/B41)*(B40/B39)*(B38/B37)*B36</f>
        <v>5000</v>
      </c>
      <c r="C45" s="146" t="s">
        <v>73</v>
      </c>
      <c r="D45" s="150">
        <f>D44*$B$30/100</f>
        <v>18.541796000000001</v>
      </c>
      <c r="E45" s="151"/>
      <c r="F45" s="150">
        <f>F44*$B$30/100</f>
        <v>21.569027999999999</v>
      </c>
      <c r="G45" s="98"/>
    </row>
    <row r="46" spans="1:7" ht="19.5" customHeight="1" x14ac:dyDescent="0.3">
      <c r="A46" s="460" t="s">
        <v>74</v>
      </c>
      <c r="B46" s="461"/>
      <c r="C46" s="146" t="s">
        <v>75</v>
      </c>
      <c r="D46" s="147">
        <f>D45/$B$45</f>
        <v>3.7083592000000001E-3</v>
      </c>
      <c r="E46" s="151"/>
      <c r="F46" s="152">
        <f>F45/$B$45</f>
        <v>4.3138055999999998E-3</v>
      </c>
      <c r="G46" s="98"/>
    </row>
    <row r="47" spans="1:7" ht="27" customHeight="1" x14ac:dyDescent="0.4">
      <c r="A47" s="462"/>
      <c r="B47" s="463"/>
      <c r="C47" s="153" t="s">
        <v>105</v>
      </c>
      <c r="D47" s="154">
        <v>4.0000000000000001E-3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76</v>
      </c>
      <c r="D48" s="150">
        <f>D47*$B$45</f>
        <v>20</v>
      </c>
      <c r="E48" s="98"/>
      <c r="F48" s="155"/>
      <c r="G48" s="98"/>
    </row>
    <row r="49" spans="1:7" ht="19.5" customHeight="1" x14ac:dyDescent="0.3">
      <c r="A49" s="98"/>
      <c r="B49" s="98"/>
      <c r="C49" s="157" t="s">
        <v>77</v>
      </c>
      <c r="D49" s="158">
        <f>D48/B34</f>
        <v>20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78</v>
      </c>
      <c r="D50" s="159">
        <f>AVERAGE(E38:E41,G38:G41)</f>
        <v>4154655.3899125247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79</v>
      </c>
      <c r="D51" s="161">
        <f>STDEV(E38:E41,G38:G41)/D50</f>
        <v>1.3740024129955482E-2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80</v>
      </c>
      <c r="C54" s="98"/>
      <c r="D54" s="98"/>
      <c r="E54" s="98"/>
      <c r="F54" s="98"/>
      <c r="G54" s="98"/>
    </row>
    <row r="55" spans="1:7" ht="18.75" customHeight="1" x14ac:dyDescent="0.3">
      <c r="A55" s="98" t="s">
        <v>81</v>
      </c>
      <c r="B55" s="165" t="str">
        <f>B21</f>
        <v>Each tablet contains: Levothyroxine Sodium 100 mcg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82</v>
      </c>
      <c r="B56" s="167">
        <v>0.1</v>
      </c>
      <c r="C56" s="98" t="str">
        <f>B20</f>
        <v>Levothyroxine Sodium</v>
      </c>
      <c r="D56" s="98"/>
      <c r="E56" s="98"/>
      <c r="F56" s="98"/>
      <c r="G56" s="98"/>
    </row>
    <row r="57" spans="1:7" ht="17.25" customHeight="1" x14ac:dyDescent="0.3">
      <c r="A57" s="168" t="s">
        <v>83</v>
      </c>
      <c r="B57" s="168">
        <f>Uniformity!C46</f>
        <v>116.9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106</v>
      </c>
      <c r="B58" s="120">
        <v>25</v>
      </c>
      <c r="C58" s="170" t="s">
        <v>110</v>
      </c>
      <c r="D58" s="171" t="s">
        <v>111</v>
      </c>
      <c r="E58" s="172" t="s">
        <v>112</v>
      </c>
      <c r="F58" s="173" t="s">
        <v>113</v>
      </c>
      <c r="G58" s="174" t="s">
        <v>114</v>
      </c>
    </row>
    <row r="59" spans="1:7" ht="26.25" customHeight="1" x14ac:dyDescent="0.4">
      <c r="A59" s="121" t="s">
        <v>60</v>
      </c>
      <c r="B59" s="122">
        <v>1</v>
      </c>
      <c r="C59" s="175">
        <v>1</v>
      </c>
      <c r="D59" s="357">
        <v>4067965</v>
      </c>
      <c r="E59" s="176">
        <f t="shared" ref="E59:E68" si="0">IF(ISBLANK(D59),"-",D59/$D$50*$D$47*$B$67)</f>
        <v>9.7913415631943682E-2</v>
      </c>
      <c r="F59" s="177">
        <f t="shared" ref="F59:F68" si="1">IF(ISBLANK(D59),"-",E59/$E$70*100)</f>
        <v>106.96356691751436</v>
      </c>
      <c r="G59" s="178">
        <f t="shared" ref="G59:G68" si="2">IF(ISBLANK(D59),"-",E59/$B$56*100)</f>
        <v>97.913415631943678</v>
      </c>
    </row>
    <row r="60" spans="1:7" ht="26.25" customHeight="1" x14ac:dyDescent="0.4">
      <c r="A60" s="121" t="s">
        <v>64</v>
      </c>
      <c r="B60" s="122">
        <v>1</v>
      </c>
      <c r="C60" s="179">
        <v>2</v>
      </c>
      <c r="D60" s="362">
        <v>3648872</v>
      </c>
      <c r="E60" s="180">
        <f t="shared" si="0"/>
        <v>8.7826104876458269E-2</v>
      </c>
      <c r="F60" s="181">
        <f t="shared" si="1"/>
        <v>95.94388455786725</v>
      </c>
      <c r="G60" s="182">
        <f t="shared" si="2"/>
        <v>87.82610487645826</v>
      </c>
    </row>
    <row r="61" spans="1:7" ht="26.25" customHeight="1" x14ac:dyDescent="0.4">
      <c r="A61" s="121" t="s">
        <v>65</v>
      </c>
      <c r="B61" s="122">
        <v>1</v>
      </c>
      <c r="C61" s="179">
        <v>3</v>
      </c>
      <c r="D61" s="362">
        <v>3737497</v>
      </c>
      <c r="E61" s="180">
        <f t="shared" si="0"/>
        <v>8.9959254119478069E-2</v>
      </c>
      <c r="F61" s="181">
        <f t="shared" si="1"/>
        <v>98.274201096496455</v>
      </c>
      <c r="G61" s="182">
        <f t="shared" si="2"/>
        <v>89.959254119478061</v>
      </c>
    </row>
    <row r="62" spans="1:7" ht="26.25" customHeight="1" x14ac:dyDescent="0.4">
      <c r="A62" s="121" t="s">
        <v>66</v>
      </c>
      <c r="B62" s="122">
        <v>1</v>
      </c>
      <c r="C62" s="179">
        <v>4</v>
      </c>
      <c r="D62" s="362">
        <v>3877944</v>
      </c>
      <c r="E62" s="180">
        <f t="shared" si="0"/>
        <v>9.3339727030444505E-2</v>
      </c>
      <c r="F62" s="181">
        <f t="shared" si="1"/>
        <v>101.96713161159776</v>
      </c>
      <c r="G62" s="182">
        <f t="shared" si="2"/>
        <v>93.339727030444493</v>
      </c>
    </row>
    <row r="63" spans="1:7" ht="26.25" customHeight="1" x14ac:dyDescent="0.4">
      <c r="A63" s="121" t="s">
        <v>67</v>
      </c>
      <c r="B63" s="122">
        <v>1</v>
      </c>
      <c r="C63" s="179">
        <v>5</v>
      </c>
      <c r="D63" s="362">
        <v>3815174</v>
      </c>
      <c r="E63" s="180">
        <f t="shared" si="0"/>
        <v>9.1828891735839677E-2</v>
      </c>
      <c r="F63" s="181">
        <f t="shared" si="1"/>
        <v>100.31664959038756</v>
      </c>
      <c r="G63" s="182">
        <f t="shared" si="2"/>
        <v>91.828891735839662</v>
      </c>
    </row>
    <row r="64" spans="1:7" ht="26.25" customHeight="1" x14ac:dyDescent="0.4">
      <c r="A64" s="121" t="s">
        <v>68</v>
      </c>
      <c r="B64" s="122">
        <v>1</v>
      </c>
      <c r="C64" s="179">
        <v>6</v>
      </c>
      <c r="D64" s="362">
        <v>3890217</v>
      </c>
      <c r="E64" s="180">
        <f t="shared" si="0"/>
        <v>9.3635130592188726E-2</v>
      </c>
      <c r="F64" s="181">
        <f t="shared" si="1"/>
        <v>102.28983936763269</v>
      </c>
      <c r="G64" s="182">
        <f t="shared" si="2"/>
        <v>93.635130592188716</v>
      </c>
    </row>
    <row r="65" spans="1:7" ht="26.25" customHeight="1" x14ac:dyDescent="0.4">
      <c r="A65" s="121" t="s">
        <v>70</v>
      </c>
      <c r="B65" s="122">
        <v>1</v>
      </c>
      <c r="C65" s="179">
        <v>7</v>
      </c>
      <c r="D65" s="362">
        <v>3545597</v>
      </c>
      <c r="E65" s="180">
        <f t="shared" si="0"/>
        <v>8.5340339143619132E-2</v>
      </c>
      <c r="F65" s="181">
        <f t="shared" si="1"/>
        <v>93.228359135842652</v>
      </c>
      <c r="G65" s="182">
        <f t="shared" si="2"/>
        <v>85.340339143619133</v>
      </c>
    </row>
    <row r="66" spans="1:7" ht="26.25" customHeight="1" x14ac:dyDescent="0.4">
      <c r="A66" s="121" t="s">
        <v>71</v>
      </c>
      <c r="B66" s="122">
        <v>1</v>
      </c>
      <c r="C66" s="179">
        <v>8</v>
      </c>
      <c r="D66" s="362">
        <v>4080506</v>
      </c>
      <c r="E66" s="180">
        <f t="shared" si="0"/>
        <v>9.8215269788860027E-2</v>
      </c>
      <c r="F66" s="181">
        <f t="shared" si="1"/>
        <v>107.29332149817388</v>
      </c>
      <c r="G66" s="182">
        <f t="shared" si="2"/>
        <v>98.215269788860027</v>
      </c>
    </row>
    <row r="67" spans="1:7" ht="27" customHeight="1" x14ac:dyDescent="0.4">
      <c r="A67" s="121" t="s">
        <v>72</v>
      </c>
      <c r="B67" s="149">
        <f>(B66/B65)*(B64/B63)*(B62/B61)*(B60/B59)*B58</f>
        <v>25</v>
      </c>
      <c r="C67" s="179">
        <v>9</v>
      </c>
      <c r="D67" s="362">
        <v>3971007</v>
      </c>
      <c r="E67" s="180">
        <f t="shared" si="0"/>
        <v>9.5579696203963824E-2</v>
      </c>
      <c r="F67" s="181">
        <f t="shared" si="1"/>
        <v>104.41414146248009</v>
      </c>
      <c r="G67" s="182">
        <f t="shared" si="2"/>
        <v>95.57969620396382</v>
      </c>
    </row>
    <row r="68" spans="1:7" ht="27" customHeight="1" x14ac:dyDescent="0.4">
      <c r="A68" s="460" t="s">
        <v>74</v>
      </c>
      <c r="B68" s="465"/>
      <c r="C68" s="183">
        <v>10</v>
      </c>
      <c r="D68" s="367">
        <v>3396535</v>
      </c>
      <c r="E68" s="184">
        <f t="shared" si="0"/>
        <v>8.1752508481130928E-2</v>
      </c>
      <c r="F68" s="185">
        <f t="shared" si="1"/>
        <v>89.30890476200743</v>
      </c>
      <c r="G68" s="186">
        <f t="shared" si="2"/>
        <v>81.752508481130931</v>
      </c>
    </row>
    <row r="69" spans="1:7" ht="19.5" customHeight="1" x14ac:dyDescent="0.3">
      <c r="A69" s="462"/>
      <c r="B69" s="466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115</v>
      </c>
      <c r="D70" s="190"/>
      <c r="E70" s="191">
        <f>AVERAGE(E59:E68)</f>
        <v>9.1539033760392671E-2</v>
      </c>
      <c r="F70" s="191">
        <f>AVERAGE(F59:F68)</f>
        <v>100.00000000000001</v>
      </c>
      <c r="G70" s="192">
        <f>AVERAGE(G59:G68)</f>
        <v>91.53903376039267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5.8686244586255917E-2</v>
      </c>
      <c r="F71" s="193">
        <f>STDEV(F59:F68)/F70</f>
        <v>5.8686244586255924E-2</v>
      </c>
      <c r="G71" s="194">
        <f>STDEV(G59:G68)/G70</f>
        <v>5.8686244586255903E-2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107</v>
      </c>
      <c r="B74" s="201" t="s">
        <v>92</v>
      </c>
      <c r="C74" s="464" t="str">
        <f>B20</f>
        <v>Levothyroxine Sodium</v>
      </c>
      <c r="D74" s="464"/>
      <c r="E74" s="202" t="s">
        <v>93</v>
      </c>
      <c r="F74" s="202"/>
      <c r="G74" s="203">
        <f>G70</f>
        <v>91.53903376039267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116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467" t="s">
        <v>117</v>
      </c>
      <c r="C78" s="468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91.53903376039267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118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119</v>
      </c>
      <c r="C81" s="208">
        <f>STDEV(G59:G68)</f>
        <v>5.372082124451941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120</v>
      </c>
      <c r="C82" s="208">
        <f>IF(OR(G70&lt;98.5,G70&gt;101.5),(IF(98.5&gt;G70,98.5,101.5)),C79)</f>
        <v>98.5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121</v>
      </c>
      <c r="C83" s="210">
        <f>ABS(C82-C79)+(C80*C81)</f>
        <v>19.85396333829199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94</v>
      </c>
      <c r="B85" s="107" t="s">
        <v>95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469" t="s">
        <v>127</v>
      </c>
      <c r="C87" s="469"/>
      <c r="D87" s="98"/>
      <c r="E87" s="98"/>
      <c r="F87" s="98"/>
      <c r="G87" s="98"/>
    </row>
    <row r="88" spans="1:7" ht="26.25" customHeight="1" x14ac:dyDescent="0.4">
      <c r="A88" s="109" t="s">
        <v>48</v>
      </c>
      <c r="B88" s="470" t="s">
        <v>128</v>
      </c>
      <c r="C88" s="470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v>99.58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471" t="s">
        <v>50</v>
      </c>
      <c r="D90" s="472"/>
      <c r="E90" s="472"/>
      <c r="F90" s="472"/>
      <c r="G90" s="473"/>
    </row>
    <row r="91" spans="1:7" ht="18.75" customHeight="1" x14ac:dyDescent="0.3">
      <c r="A91" s="109" t="s">
        <v>51</v>
      </c>
      <c r="B91" s="113">
        <f>B89-B90</f>
        <v>99.58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52</v>
      </c>
      <c r="B93" s="115">
        <v>1</v>
      </c>
      <c r="C93" s="456" t="s">
        <v>122</v>
      </c>
      <c r="D93" s="457"/>
      <c r="E93" s="457"/>
      <c r="F93" s="457"/>
      <c r="G93" s="457"/>
    </row>
    <row r="94" spans="1:7" ht="27" customHeight="1" x14ac:dyDescent="0.4">
      <c r="A94" s="109" t="s">
        <v>54</v>
      </c>
      <c r="B94" s="115">
        <v>1</v>
      </c>
      <c r="C94" s="456" t="s">
        <v>123</v>
      </c>
      <c r="D94" s="457"/>
      <c r="E94" s="457"/>
      <c r="F94" s="457"/>
      <c r="G94" s="457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104</v>
      </c>
      <c r="B98" s="214">
        <v>50</v>
      </c>
      <c r="C98" s="98"/>
      <c r="D98" s="215" t="s">
        <v>58</v>
      </c>
      <c r="E98" s="216"/>
      <c r="F98" s="458" t="s">
        <v>59</v>
      </c>
      <c r="G98" s="459"/>
    </row>
    <row r="99" spans="1:7" ht="26.25" customHeight="1" x14ac:dyDescent="0.4">
      <c r="A99" s="121" t="s">
        <v>60</v>
      </c>
      <c r="B99" s="217">
        <v>3</v>
      </c>
      <c r="C99" s="123" t="s">
        <v>61</v>
      </c>
      <c r="D99" s="124" t="s">
        <v>62</v>
      </c>
      <c r="E99" s="125" t="s">
        <v>63</v>
      </c>
      <c r="F99" s="124" t="s">
        <v>62</v>
      </c>
      <c r="G99" s="126" t="s">
        <v>63</v>
      </c>
    </row>
    <row r="100" spans="1:7" ht="26.25" customHeight="1" x14ac:dyDescent="0.4">
      <c r="A100" s="121" t="s">
        <v>64</v>
      </c>
      <c r="B100" s="217">
        <v>100</v>
      </c>
      <c r="C100" s="127">
        <v>1</v>
      </c>
      <c r="D100" s="128">
        <v>627100</v>
      </c>
      <c r="E100" s="218">
        <f>IF(ISBLANK(D100),"-",$D$110/$D$107*D100)</f>
        <v>534679.00212306192</v>
      </c>
      <c r="F100" s="219">
        <v>702327</v>
      </c>
      <c r="G100" s="130">
        <f>IF(ISBLANK(F100),"-",$D$110/$F$107*F100)</f>
        <v>550577.0606571018</v>
      </c>
    </row>
    <row r="101" spans="1:7" ht="26.25" customHeight="1" x14ac:dyDescent="0.4">
      <c r="A101" s="121" t="s">
        <v>65</v>
      </c>
      <c r="B101" s="217">
        <v>1</v>
      </c>
      <c r="C101" s="131">
        <v>2</v>
      </c>
      <c r="D101" s="132">
        <v>627204</v>
      </c>
      <c r="E101" s="220">
        <f>IF(ISBLANK(D101),"-",$D$110/$D$107*D101)</f>
        <v>534767.67476892518</v>
      </c>
      <c r="F101" s="110">
        <v>698081</v>
      </c>
      <c r="G101" s="134">
        <f>IF(ISBLANK(F101),"-",$D$110/$F$107*F101)</f>
        <v>547248.48265917483</v>
      </c>
    </row>
    <row r="102" spans="1:7" ht="26.25" customHeight="1" x14ac:dyDescent="0.4">
      <c r="A102" s="121" t="s">
        <v>66</v>
      </c>
      <c r="B102" s="217">
        <v>100</v>
      </c>
      <c r="C102" s="131">
        <v>3</v>
      </c>
      <c r="D102" s="132">
        <v>625983</v>
      </c>
      <c r="E102" s="220">
        <f>IF(ISBLANK(D102),"-",$D$110/$D$107*D102)</f>
        <v>533726.62380162766</v>
      </c>
      <c r="F102" s="221">
        <v>701490</v>
      </c>
      <c r="G102" s="134">
        <f>IF(ISBLANK(F102),"-",$D$110/$F$107*F102)</f>
        <v>549920.9090357488</v>
      </c>
    </row>
    <row r="103" spans="1:7" ht="26.25" customHeight="1" x14ac:dyDescent="0.4">
      <c r="A103" s="121" t="s">
        <v>67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x14ac:dyDescent="0.4">
      <c r="A104" s="121" t="s">
        <v>68</v>
      </c>
      <c r="B104" s="217">
        <v>1</v>
      </c>
      <c r="C104" s="139" t="s">
        <v>69</v>
      </c>
      <c r="D104" s="224">
        <f>AVERAGE(D100:D103)</f>
        <v>626762.33333333337</v>
      </c>
      <c r="E104" s="141">
        <f>AVERAGE(E100:E103)</f>
        <v>534391.100231205</v>
      </c>
      <c r="F104" s="224">
        <f>AVERAGE(F100:F103)</f>
        <v>700632.66666666663</v>
      </c>
      <c r="G104" s="225">
        <f>AVERAGE(G100:G103)</f>
        <v>549248.81745067518</v>
      </c>
    </row>
    <row r="105" spans="1:7" ht="26.25" customHeight="1" x14ac:dyDescent="0.4">
      <c r="A105" s="121" t="s">
        <v>70</v>
      </c>
      <c r="B105" s="217">
        <v>1</v>
      </c>
      <c r="C105" s="143" t="s">
        <v>96</v>
      </c>
      <c r="D105" s="226">
        <v>19.63</v>
      </c>
      <c r="E105" s="145"/>
      <c r="F105" s="144">
        <v>21.35</v>
      </c>
      <c r="G105" s="98"/>
    </row>
    <row r="106" spans="1:7" ht="26.25" customHeight="1" x14ac:dyDescent="0.4">
      <c r="A106" s="121" t="s">
        <v>71</v>
      </c>
      <c r="B106" s="217">
        <v>1</v>
      </c>
      <c r="C106" s="146" t="s">
        <v>97</v>
      </c>
      <c r="D106" s="227">
        <f>D105*$B$96</f>
        <v>19.63</v>
      </c>
      <c r="E106" s="148"/>
      <c r="F106" s="147">
        <f>F105*$B$96</f>
        <v>21.35</v>
      </c>
      <c r="G106" s="98"/>
    </row>
    <row r="107" spans="1:7" ht="19.5" customHeight="1" x14ac:dyDescent="0.3">
      <c r="A107" s="121" t="s">
        <v>72</v>
      </c>
      <c r="B107" s="259">
        <f>(B106/B105)*(B104/B103)*(B102/B101)*(B100/B99)*B98</f>
        <v>166666.66666666669</v>
      </c>
      <c r="C107" s="146" t="s">
        <v>73</v>
      </c>
      <c r="D107" s="228">
        <f>D106*$B$91/100</f>
        <v>19.547553999999998</v>
      </c>
      <c r="E107" s="151"/>
      <c r="F107" s="150">
        <f>F106*$B$91/100</f>
        <v>21.26033</v>
      </c>
      <c r="G107" s="98"/>
    </row>
    <row r="108" spans="1:7" ht="19.5" customHeight="1" x14ac:dyDescent="0.3">
      <c r="A108" s="460" t="s">
        <v>74</v>
      </c>
      <c r="B108" s="461"/>
      <c r="C108" s="146" t="s">
        <v>75</v>
      </c>
      <c r="D108" s="227">
        <f>D107/$B$107</f>
        <v>1.1728532399999998E-4</v>
      </c>
      <c r="E108" s="151"/>
      <c r="F108" s="152">
        <f>F107/$B$107</f>
        <v>1.2756197999999998E-4</v>
      </c>
      <c r="G108" s="229"/>
    </row>
    <row r="109" spans="1:7" ht="19.5" customHeight="1" x14ac:dyDescent="0.3">
      <c r="A109" s="462"/>
      <c r="B109" s="463"/>
      <c r="C109" s="277" t="s">
        <v>105</v>
      </c>
      <c r="D109" s="231">
        <f>$B$56/$B$125</f>
        <v>1E-4</v>
      </c>
      <c r="E109" s="98"/>
      <c r="F109" s="155"/>
      <c r="G109" s="232"/>
    </row>
    <row r="110" spans="1:7" ht="18.75" customHeight="1" x14ac:dyDescent="0.3">
      <c r="A110" s="98"/>
      <c r="B110" s="98"/>
      <c r="C110" s="230" t="s">
        <v>76</v>
      </c>
      <c r="D110" s="227">
        <f>D109*$B$107</f>
        <v>16.666666666666668</v>
      </c>
      <c r="E110" s="98"/>
      <c r="F110" s="155"/>
      <c r="G110" s="229"/>
    </row>
    <row r="111" spans="1:7" ht="19.5" customHeight="1" x14ac:dyDescent="0.3">
      <c r="A111" s="98"/>
      <c r="B111" s="98"/>
      <c r="C111" s="233" t="s">
        <v>77</v>
      </c>
      <c r="D111" s="234">
        <f>D110/B96</f>
        <v>16.666666666666668</v>
      </c>
      <c r="E111" s="98"/>
      <c r="F111" s="160"/>
      <c r="G111" s="229"/>
    </row>
    <row r="112" spans="1:7" ht="18.75" customHeight="1" x14ac:dyDescent="0.3">
      <c r="A112" s="98"/>
      <c r="B112" s="98"/>
      <c r="C112" s="235" t="s">
        <v>78</v>
      </c>
      <c r="D112" s="236">
        <f>AVERAGE(E100:E103,G100:G103)</f>
        <v>541819.95884094003</v>
      </c>
      <c r="E112" s="98"/>
      <c r="F112" s="160"/>
      <c r="G112" s="237"/>
    </row>
    <row r="113" spans="1:7" ht="18.75" customHeight="1" x14ac:dyDescent="0.3">
      <c r="A113" s="98"/>
      <c r="B113" s="98"/>
      <c r="C113" s="238" t="s">
        <v>79</v>
      </c>
      <c r="D113" s="239">
        <f>STDEV(E100:E103,G100:G103)/D112</f>
        <v>1.517488845685639E-2</v>
      </c>
      <c r="E113" s="98"/>
      <c r="F113" s="160"/>
      <c r="G113" s="229"/>
    </row>
    <row r="114" spans="1:7" ht="19.5" customHeight="1" x14ac:dyDescent="0.3">
      <c r="A114" s="98"/>
      <c r="B114" s="98"/>
      <c r="C114" s="240" t="s">
        <v>20</v>
      </c>
      <c r="D114" s="241">
        <f>COUNT(E100:E103,G100:G103)</f>
        <v>6</v>
      </c>
      <c r="E114" s="98"/>
      <c r="F114" s="160"/>
      <c r="G114" s="229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98</v>
      </c>
      <c r="B116" s="214">
        <v>500</v>
      </c>
      <c r="C116" s="242" t="s">
        <v>108</v>
      </c>
      <c r="D116" s="243" t="s">
        <v>62</v>
      </c>
      <c r="E116" s="244" t="s">
        <v>99</v>
      </c>
      <c r="F116" s="245" t="s">
        <v>100</v>
      </c>
      <c r="G116" s="98"/>
    </row>
    <row r="117" spans="1:7" ht="26.25" customHeight="1" x14ac:dyDescent="0.4">
      <c r="A117" s="121" t="s">
        <v>101</v>
      </c>
      <c r="B117" s="217">
        <v>5</v>
      </c>
      <c r="C117" s="179">
        <v>1</v>
      </c>
      <c r="D117" s="246">
        <v>386217</v>
      </c>
      <c r="E117" s="247">
        <f t="shared" ref="E117:E122" si="3">IF(ISBLANK(D117),"-",D117/$D$112*$D$109*$B$125)</f>
        <v>7.1281427289277874E-2</v>
      </c>
      <c r="F117" s="248">
        <f t="shared" ref="F117:F122" si="4">IF(ISBLANK(D117), "-", E117/$B$56)</f>
        <v>0.71281427289277866</v>
      </c>
      <c r="G117" s="98"/>
    </row>
    <row r="118" spans="1:7" ht="26.25" customHeight="1" x14ac:dyDescent="0.4">
      <c r="A118" s="121" t="s">
        <v>84</v>
      </c>
      <c r="B118" s="217">
        <v>10</v>
      </c>
      <c r="C118" s="179">
        <v>2</v>
      </c>
      <c r="D118" s="246">
        <v>352634</v>
      </c>
      <c r="E118" s="249">
        <f t="shared" si="3"/>
        <v>6.5083242919724463E-2</v>
      </c>
      <c r="F118" s="250">
        <f t="shared" si="4"/>
        <v>0.6508324291972446</v>
      </c>
      <c r="G118" s="98"/>
    </row>
    <row r="119" spans="1:7" ht="26.25" customHeight="1" x14ac:dyDescent="0.4">
      <c r="A119" s="121" t="s">
        <v>85</v>
      </c>
      <c r="B119" s="217">
        <v>1</v>
      </c>
      <c r="C119" s="179">
        <v>3</v>
      </c>
      <c r="D119" s="246">
        <v>347588</v>
      </c>
      <c r="E119" s="249">
        <f t="shared" si="3"/>
        <v>6.4151937249332686E-2</v>
      </c>
      <c r="F119" s="250">
        <f t="shared" si="4"/>
        <v>0.6415193724933268</v>
      </c>
      <c r="G119" s="98"/>
    </row>
    <row r="120" spans="1:7" ht="26.25" customHeight="1" x14ac:dyDescent="0.4">
      <c r="A120" s="121" t="s">
        <v>86</v>
      </c>
      <c r="B120" s="217">
        <v>1</v>
      </c>
      <c r="C120" s="179">
        <v>4</v>
      </c>
      <c r="D120" s="246">
        <v>346447</v>
      </c>
      <c r="E120" s="249">
        <f t="shared" si="3"/>
        <v>6.3941350691679694E-2</v>
      </c>
      <c r="F120" s="250">
        <f t="shared" si="4"/>
        <v>0.63941350691679688</v>
      </c>
      <c r="G120" s="98"/>
    </row>
    <row r="121" spans="1:7" ht="26.25" customHeight="1" x14ac:dyDescent="0.4">
      <c r="A121" s="121" t="s">
        <v>87</v>
      </c>
      <c r="B121" s="217">
        <v>1</v>
      </c>
      <c r="C121" s="179">
        <v>5</v>
      </c>
      <c r="D121" s="246">
        <v>337506</v>
      </c>
      <c r="E121" s="249">
        <f t="shared" si="3"/>
        <v>6.2291171540079848E-2</v>
      </c>
      <c r="F121" s="250">
        <f t="shared" si="4"/>
        <v>0.62291171540079848</v>
      </c>
      <c r="G121" s="98"/>
    </row>
    <row r="122" spans="1:7" ht="26.25" customHeight="1" x14ac:dyDescent="0.4">
      <c r="A122" s="121" t="s">
        <v>88</v>
      </c>
      <c r="B122" s="217">
        <v>1</v>
      </c>
      <c r="C122" s="251">
        <v>6</v>
      </c>
      <c r="D122" s="252">
        <v>354089</v>
      </c>
      <c r="E122" s="253">
        <f t="shared" si="3"/>
        <v>6.5351782307441458E-2</v>
      </c>
      <c r="F122" s="254">
        <f t="shared" si="4"/>
        <v>0.65351782307441453</v>
      </c>
      <c r="G122" s="98"/>
    </row>
    <row r="123" spans="1:7" ht="26.25" customHeight="1" x14ac:dyDescent="0.4">
      <c r="A123" s="121" t="s">
        <v>89</v>
      </c>
      <c r="B123" s="217">
        <v>1</v>
      </c>
      <c r="C123" s="179"/>
      <c r="D123" s="255"/>
      <c r="E123" s="199"/>
      <c r="F123" s="182"/>
      <c r="G123" s="98"/>
    </row>
    <row r="124" spans="1:7" ht="26.25" customHeight="1" x14ac:dyDescent="0.4">
      <c r="A124" s="121" t="s">
        <v>90</v>
      </c>
      <c r="B124" s="217">
        <v>1</v>
      </c>
      <c r="C124" s="179"/>
      <c r="D124" s="256"/>
      <c r="E124" s="257" t="s">
        <v>69</v>
      </c>
      <c r="F124" s="258">
        <f>AVERAGE(F117:F122)</f>
        <v>0.65350151999589334</v>
      </c>
      <c r="G124" s="98"/>
    </row>
    <row r="125" spans="1:7" ht="27" customHeight="1" x14ac:dyDescent="0.4">
      <c r="A125" s="121" t="s">
        <v>91</v>
      </c>
      <c r="B125" s="259">
        <f>(B124/B123)*(B122/B121)*(B120/B119)*(B118/B117)*B116</f>
        <v>1000</v>
      </c>
      <c r="C125" s="260"/>
      <c r="D125" s="261"/>
      <c r="E125" s="157" t="s">
        <v>79</v>
      </c>
      <c r="F125" s="194">
        <f>STDEV(F117:F122)/F124</f>
        <v>4.7426435861075658E-2</v>
      </c>
      <c r="G125" s="98"/>
    </row>
    <row r="126" spans="1:7" ht="27" customHeight="1" x14ac:dyDescent="0.4">
      <c r="A126" s="460" t="s">
        <v>74</v>
      </c>
      <c r="B126" s="461"/>
      <c r="C126" s="262"/>
      <c r="D126" s="263"/>
      <c r="E126" s="264" t="s">
        <v>20</v>
      </c>
      <c r="F126" s="265">
        <f>COUNT(F117:F122)</f>
        <v>6</v>
      </c>
      <c r="G126" s="98"/>
    </row>
    <row r="127" spans="1:7" ht="19.5" customHeight="1" x14ac:dyDescent="0.3">
      <c r="A127" s="462"/>
      <c r="B127" s="463"/>
      <c r="C127" s="199"/>
      <c r="D127" s="199"/>
      <c r="E127" s="199"/>
      <c r="F127" s="255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5"/>
      <c r="G128" s="199"/>
    </row>
    <row r="129" spans="1:7" ht="18.75" customHeight="1" x14ac:dyDescent="0.3">
      <c r="A129" s="108" t="s">
        <v>107</v>
      </c>
      <c r="B129" s="201" t="s">
        <v>102</v>
      </c>
      <c r="C129" s="464" t="str">
        <f>B20</f>
        <v>Levothyroxine Sodium</v>
      </c>
      <c r="D129" s="464"/>
      <c r="E129" s="202" t="s">
        <v>103</v>
      </c>
      <c r="F129" s="202"/>
      <c r="G129" s="205">
        <f>F124</f>
        <v>0.65350151999589334</v>
      </c>
    </row>
    <row r="130" spans="1:7" ht="19.5" customHeight="1" x14ac:dyDescent="0.3">
      <c r="A130" s="266"/>
      <c r="B130" s="266"/>
      <c r="C130" s="267"/>
      <c r="D130" s="267"/>
      <c r="E130" s="267"/>
      <c r="F130" s="267"/>
      <c r="G130" s="267"/>
    </row>
    <row r="131" spans="1:7" ht="18.75" customHeight="1" x14ac:dyDescent="0.3">
      <c r="A131" s="98"/>
      <c r="B131" s="455" t="s">
        <v>26</v>
      </c>
      <c r="C131" s="455"/>
      <c r="D131" s="98"/>
      <c r="E131" s="268" t="s">
        <v>27</v>
      </c>
      <c r="F131" s="269"/>
      <c r="G131" s="276" t="s">
        <v>28</v>
      </c>
    </row>
    <row r="132" spans="1:7" ht="60" customHeight="1" x14ac:dyDescent="0.3">
      <c r="A132" s="270" t="s">
        <v>29</v>
      </c>
      <c r="B132" s="271"/>
      <c r="C132" s="271"/>
      <c r="D132" s="98"/>
      <c r="E132" s="271"/>
      <c r="F132" s="199"/>
      <c r="G132" s="272"/>
    </row>
    <row r="133" spans="1:7" ht="60" customHeight="1" x14ac:dyDescent="0.3">
      <c r="A133" s="270" t="s">
        <v>30</v>
      </c>
      <c r="B133" s="273"/>
      <c r="C133" s="273"/>
      <c r="D133" s="98"/>
      <c r="E133" s="273"/>
      <c r="F133" s="199"/>
      <c r="G133" s="274"/>
    </row>
    <row r="250" spans="1:1" x14ac:dyDescent="0.2">
      <c r="A250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32" priority="1" operator="greaterThan">
      <formula>0.02</formula>
    </cfRule>
  </conditionalFormatting>
  <conditionalFormatting sqref="C83">
    <cfRule type="cellIs" dxfId="31" priority="2" operator="greaterThan">
      <formula>15</formula>
    </cfRule>
  </conditionalFormatting>
  <conditionalFormatting sqref="D113">
    <cfRule type="cellIs" dxfId="30" priority="3" operator="greaterThan">
      <formula>0.02</formula>
    </cfRule>
  </conditionalFormatting>
  <pageMargins left="0.7" right="0.7" top="0.75" bottom="0.75" header="0.3" footer="0.3"/>
  <pageSetup scale="23" fitToWidth="0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43" t="s">
        <v>0</v>
      </c>
      <c r="B15" s="443"/>
      <c r="C15" s="443"/>
      <c r="D15" s="443"/>
      <c r="E15" s="443"/>
    </row>
    <row r="16" spans="1:6" ht="16.5" customHeight="1" x14ac:dyDescent="0.3">
      <c r="A16" s="349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50"/>
    </row>
    <row r="18" spans="1:5" ht="16.5" customHeight="1" x14ac:dyDescent="0.3">
      <c r="A18" s="75" t="s">
        <v>4</v>
      </c>
      <c r="B18" s="12" t="s">
        <v>130</v>
      </c>
      <c r="C18" s="350"/>
      <c r="D18" s="350"/>
      <c r="E18" s="350"/>
    </row>
    <row r="19" spans="1:5" ht="16.5" customHeight="1" x14ac:dyDescent="0.3">
      <c r="A19" s="75" t="s">
        <v>6</v>
      </c>
      <c r="B19" s="12">
        <v>99.58</v>
      </c>
      <c r="C19" s="350"/>
      <c r="D19" s="350"/>
      <c r="E19" s="350"/>
    </row>
    <row r="20" spans="1:5" ht="16.5" customHeight="1" x14ac:dyDescent="0.3">
      <c r="A20" s="8" t="s">
        <v>8</v>
      </c>
      <c r="B20" s="12">
        <v>20</v>
      </c>
      <c r="C20" s="350"/>
      <c r="D20" s="350"/>
      <c r="E20" s="350"/>
    </row>
    <row r="21" spans="1:5" ht="16.5" customHeight="1" x14ac:dyDescent="0.3">
      <c r="A21" s="8" t="s">
        <v>10</v>
      </c>
      <c r="B21" s="13">
        <f>20/50*1/100</f>
        <v>4.0000000000000001E-3</v>
      </c>
      <c r="C21" s="350"/>
      <c r="D21" s="350"/>
      <c r="E21" s="350"/>
    </row>
    <row r="22" spans="1:5" ht="15.75" customHeight="1" x14ac:dyDescent="0.25">
      <c r="A22" s="350"/>
      <c r="B22" s="350"/>
      <c r="C22" s="350"/>
      <c r="D22" s="350"/>
      <c r="E22" s="350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4108703</v>
      </c>
      <c r="C24" s="18">
        <v>11416.46</v>
      </c>
      <c r="D24" s="19">
        <v>1.19</v>
      </c>
      <c r="E24" s="20">
        <v>9.4700000000000006</v>
      </c>
    </row>
    <row r="25" spans="1:5" ht="16.5" customHeight="1" x14ac:dyDescent="0.3">
      <c r="A25" s="17">
        <v>2</v>
      </c>
      <c r="B25" s="18">
        <v>4111086</v>
      </c>
      <c r="C25" s="18">
        <v>11371.52</v>
      </c>
      <c r="D25" s="19">
        <v>1.19</v>
      </c>
      <c r="E25" s="19">
        <v>9.4600000000000009</v>
      </c>
    </row>
    <row r="26" spans="1:5" ht="16.5" customHeight="1" x14ac:dyDescent="0.3">
      <c r="A26" s="17">
        <v>3</v>
      </c>
      <c r="B26" s="18">
        <v>4111349</v>
      </c>
      <c r="C26" s="18">
        <v>11382.75</v>
      </c>
      <c r="D26" s="19">
        <v>1.2</v>
      </c>
      <c r="E26" s="19">
        <v>9.4499999999999993</v>
      </c>
    </row>
    <row r="27" spans="1:5" ht="16.5" customHeight="1" x14ac:dyDescent="0.3">
      <c r="A27" s="17">
        <v>4</v>
      </c>
      <c r="B27" s="18">
        <v>4102101</v>
      </c>
      <c r="C27" s="18">
        <v>11407</v>
      </c>
      <c r="D27" s="19">
        <v>1.22</v>
      </c>
      <c r="E27" s="19">
        <v>9.44</v>
      </c>
    </row>
    <row r="28" spans="1:5" ht="16.5" customHeight="1" x14ac:dyDescent="0.3">
      <c r="A28" s="17">
        <v>5</v>
      </c>
      <c r="B28" s="18">
        <v>4106480</v>
      </c>
      <c r="C28" s="18">
        <v>11447.83</v>
      </c>
      <c r="D28" s="19">
        <v>1.23</v>
      </c>
      <c r="E28" s="19">
        <v>9.44</v>
      </c>
    </row>
    <row r="29" spans="1:5" ht="16.5" customHeight="1" x14ac:dyDescent="0.3">
      <c r="A29" s="17">
        <v>6</v>
      </c>
      <c r="B29" s="21">
        <v>4119661</v>
      </c>
      <c r="C29" s="21">
        <v>11387.17</v>
      </c>
      <c r="D29" s="22">
        <v>1.23</v>
      </c>
      <c r="E29" s="22">
        <v>9.43</v>
      </c>
    </row>
    <row r="30" spans="1:5" ht="16.5" customHeight="1" x14ac:dyDescent="0.3">
      <c r="A30" s="23" t="s">
        <v>18</v>
      </c>
      <c r="B30" s="24">
        <f>AVERAGE(B24:B29)</f>
        <v>4109896.6666666665</v>
      </c>
      <c r="C30" s="25">
        <f>AVERAGE(C24:C29)</f>
        <v>11402.121666666666</v>
      </c>
      <c r="D30" s="26">
        <f>AVERAGE(D24:D29)</f>
        <v>1.21</v>
      </c>
      <c r="E30" s="26">
        <f>AVERAGE(E24:E29)</f>
        <v>9.4483333333333324</v>
      </c>
    </row>
    <row r="31" spans="1:5" ht="16.5" customHeight="1" x14ac:dyDescent="0.3">
      <c r="A31" s="27" t="s">
        <v>19</v>
      </c>
      <c r="B31" s="28">
        <f>(STDEV(B24:B29)/B30)</f>
        <v>1.4301335899015179E-3</v>
      </c>
      <c r="C31" s="29"/>
      <c r="D31" s="29"/>
      <c r="E31" s="30"/>
    </row>
    <row r="32" spans="1:5" s="22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29" customFormat="1" ht="15.75" customHeight="1" x14ac:dyDescent="0.25">
      <c r="A33" s="350"/>
      <c r="B33" s="350"/>
      <c r="C33" s="350"/>
      <c r="D33" s="350"/>
      <c r="E33" s="350"/>
    </row>
    <row r="34" spans="1:5" s="22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350"/>
      <c r="B37" s="350"/>
      <c r="C37" s="350"/>
      <c r="D37" s="350"/>
      <c r="E37" s="350"/>
    </row>
    <row r="38" spans="1:5" ht="16.5" customHeight="1" x14ac:dyDescent="0.3">
      <c r="A38" s="349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5</v>
      </c>
      <c r="C39" s="350"/>
      <c r="D39" s="350"/>
      <c r="E39" s="350"/>
    </row>
    <row r="40" spans="1:5" ht="16.5" customHeight="1" x14ac:dyDescent="0.3">
      <c r="A40" s="75" t="s">
        <v>6</v>
      </c>
      <c r="B40" s="12">
        <v>99.58</v>
      </c>
      <c r="C40" s="350"/>
      <c r="D40" s="350"/>
      <c r="E40" s="350"/>
    </row>
    <row r="41" spans="1:5" ht="16.5" customHeight="1" x14ac:dyDescent="0.3">
      <c r="A41" s="8" t="s">
        <v>8</v>
      </c>
      <c r="B41" s="12">
        <v>20</v>
      </c>
      <c r="C41" s="350"/>
      <c r="D41" s="350"/>
      <c r="E41" s="350"/>
    </row>
    <row r="42" spans="1:5" ht="16.5" customHeight="1" x14ac:dyDescent="0.3">
      <c r="A42" s="8" t="s">
        <v>10</v>
      </c>
      <c r="B42" s="13">
        <f>20/50*3/100*1/100</f>
        <v>1.2000000000000002E-4</v>
      </c>
      <c r="C42" s="350"/>
      <c r="D42" s="350"/>
      <c r="E42" s="350"/>
    </row>
    <row r="43" spans="1:5" ht="15.75" customHeight="1" x14ac:dyDescent="0.25">
      <c r="A43" s="350"/>
      <c r="B43" s="350"/>
      <c r="C43" s="350"/>
      <c r="D43" s="350"/>
      <c r="E43" s="350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633010</v>
      </c>
      <c r="C45" s="18">
        <v>6319.25</v>
      </c>
      <c r="D45" s="19">
        <v>1.1100000000000001</v>
      </c>
      <c r="E45" s="20">
        <v>5.46</v>
      </c>
    </row>
    <row r="46" spans="1:5" ht="16.5" customHeight="1" x14ac:dyDescent="0.3">
      <c r="A46" s="17">
        <v>2</v>
      </c>
      <c r="B46" s="18">
        <v>635509</v>
      </c>
      <c r="C46" s="18">
        <v>6365.7</v>
      </c>
      <c r="D46" s="19">
        <v>1.1399999999999999</v>
      </c>
      <c r="E46" s="19">
        <v>5.45</v>
      </c>
    </row>
    <row r="47" spans="1:5" ht="16.5" customHeight="1" x14ac:dyDescent="0.3">
      <c r="A47" s="17">
        <v>3</v>
      </c>
      <c r="B47" s="18">
        <v>633244</v>
      </c>
      <c r="C47" s="18">
        <v>6387.21</v>
      </c>
      <c r="D47" s="19">
        <v>1.1299999999999999</v>
      </c>
      <c r="E47" s="19">
        <v>5.45</v>
      </c>
    </row>
    <row r="48" spans="1:5" ht="16.5" customHeight="1" x14ac:dyDescent="0.3">
      <c r="A48" s="17">
        <v>4</v>
      </c>
      <c r="B48" s="18">
        <v>635547</v>
      </c>
      <c r="C48" s="18">
        <v>6371.37</v>
      </c>
      <c r="D48" s="19">
        <v>1.1299999999999999</v>
      </c>
      <c r="E48" s="19">
        <v>5.45</v>
      </c>
    </row>
    <row r="49" spans="1:7" ht="16.5" customHeight="1" x14ac:dyDescent="0.3">
      <c r="A49" s="17">
        <v>5</v>
      </c>
      <c r="B49" s="18">
        <v>634239</v>
      </c>
      <c r="C49" s="18">
        <v>6368.46</v>
      </c>
      <c r="D49" s="19">
        <v>1.1299999999999999</v>
      </c>
      <c r="E49" s="19">
        <v>5.46</v>
      </c>
    </row>
    <row r="50" spans="1:7" ht="16.5" customHeight="1" x14ac:dyDescent="0.3">
      <c r="A50" s="17">
        <v>6</v>
      </c>
      <c r="B50" s="21">
        <v>634294</v>
      </c>
      <c r="C50" s="21">
        <v>6332.93</v>
      </c>
      <c r="D50" s="22">
        <v>1.1299999999999999</v>
      </c>
      <c r="E50" s="22">
        <v>5.46</v>
      </c>
    </row>
    <row r="51" spans="1:7" ht="16.5" customHeight="1" x14ac:dyDescent="0.3">
      <c r="A51" s="23" t="s">
        <v>18</v>
      </c>
      <c r="B51" s="24">
        <v>634307.16666666663</v>
      </c>
      <c r="C51" s="25">
        <v>6357.4866666666667</v>
      </c>
      <c r="D51" s="26">
        <v>1.1283333333333332</v>
      </c>
      <c r="E51" s="26">
        <v>5.4549999999999992</v>
      </c>
    </row>
    <row r="52" spans="1:7" ht="16.5" customHeight="1" x14ac:dyDescent="0.3">
      <c r="A52" s="27" t="s">
        <v>19</v>
      </c>
      <c r="B52" s="28">
        <f>(STDEV(B45:B50)/B51)</f>
        <v>1.6978759995011168E-3</v>
      </c>
      <c r="C52" s="29"/>
      <c r="D52" s="29"/>
      <c r="E52" s="30"/>
    </row>
    <row r="53" spans="1:7" s="229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229" customFormat="1" ht="15.75" customHeight="1" x14ac:dyDescent="0.25">
      <c r="A54" s="350"/>
      <c r="B54" s="350"/>
      <c r="C54" s="350"/>
      <c r="D54" s="350"/>
      <c r="E54" s="350"/>
    </row>
    <row r="55" spans="1:7" s="22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444" t="s">
        <v>26</v>
      </c>
      <c r="C59" s="444"/>
      <c r="E59" s="442" t="s">
        <v>27</v>
      </c>
      <c r="F59" s="46"/>
      <c r="G59" s="442" t="s">
        <v>28</v>
      </c>
    </row>
    <row r="60" spans="1:7" ht="15" customHeight="1" x14ac:dyDescent="0.3">
      <c r="A60" s="47" t="s">
        <v>29</v>
      </c>
      <c r="B60" s="49" t="s">
        <v>129</v>
      </c>
      <c r="C60" s="49"/>
      <c r="E60" s="479">
        <v>42557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zoomScale="60" zoomScaleNormal="70" workbookViewId="0">
      <selection sqref="A1:G160"/>
    </sheetView>
  </sheetViews>
  <sheetFormatPr defaultRowHeight="12.75" x14ac:dyDescent="0.2"/>
  <cols>
    <col min="1" max="1" width="57.28515625" customWidth="1"/>
    <col min="2" max="2" width="35.7109375" customWidth="1"/>
    <col min="3" max="3" width="46.5703125" customWidth="1"/>
    <col min="4" max="4" width="21.7109375" customWidth="1"/>
    <col min="5" max="5" width="22.7109375" customWidth="1"/>
    <col min="6" max="6" width="21.7109375" customWidth="1"/>
    <col min="7" max="7" width="27.42578125" customWidth="1"/>
  </cols>
  <sheetData>
    <row r="1" spans="1:7" ht="14.25" customHeight="1" x14ac:dyDescent="0.2">
      <c r="A1" s="453" t="s">
        <v>45</v>
      </c>
      <c r="B1" s="453"/>
      <c r="C1" s="453"/>
      <c r="D1" s="453"/>
      <c r="E1" s="453"/>
      <c r="F1" s="453"/>
      <c r="G1" s="453"/>
    </row>
    <row r="2" spans="1:7" ht="14.25" customHeight="1" x14ac:dyDescent="0.2">
      <c r="A2" s="453"/>
      <c r="B2" s="453"/>
      <c r="C2" s="453"/>
      <c r="D2" s="453"/>
      <c r="E2" s="453"/>
      <c r="F2" s="453"/>
      <c r="G2" s="453"/>
    </row>
    <row r="3" spans="1:7" ht="14.25" customHeight="1" x14ac:dyDescent="0.2">
      <c r="A3" s="453"/>
      <c r="B3" s="453"/>
      <c r="C3" s="453"/>
      <c r="D3" s="453"/>
      <c r="E3" s="453"/>
      <c r="F3" s="453"/>
      <c r="G3" s="453"/>
    </row>
    <row r="4" spans="1:7" ht="14.25" customHeight="1" x14ac:dyDescent="0.2">
      <c r="A4" s="453"/>
      <c r="B4" s="453"/>
      <c r="C4" s="453"/>
      <c r="D4" s="453"/>
      <c r="E4" s="453"/>
      <c r="F4" s="453"/>
      <c r="G4" s="453"/>
    </row>
    <row r="5" spans="1:7" ht="14.25" customHeight="1" x14ac:dyDescent="0.2">
      <c r="A5" s="453"/>
      <c r="B5" s="453"/>
      <c r="C5" s="453"/>
      <c r="D5" s="453"/>
      <c r="E5" s="453"/>
      <c r="F5" s="453"/>
      <c r="G5" s="453"/>
    </row>
    <row r="6" spans="1:7" ht="14.25" customHeight="1" x14ac:dyDescent="0.2">
      <c r="A6" s="453"/>
      <c r="B6" s="453"/>
      <c r="C6" s="453"/>
      <c r="D6" s="453"/>
      <c r="E6" s="453"/>
      <c r="F6" s="453"/>
      <c r="G6" s="453"/>
    </row>
    <row r="7" spans="1:7" ht="14.25" customHeight="1" x14ac:dyDescent="0.2">
      <c r="A7" s="453"/>
      <c r="B7" s="453"/>
      <c r="C7" s="453"/>
      <c r="D7" s="453"/>
      <c r="E7" s="453"/>
      <c r="F7" s="453"/>
      <c r="G7" s="453"/>
    </row>
    <row r="8" spans="1:7" ht="14.25" customHeight="1" x14ac:dyDescent="0.2">
      <c r="A8" s="454" t="s">
        <v>46</v>
      </c>
      <c r="B8" s="454"/>
      <c r="C8" s="454"/>
      <c r="D8" s="454"/>
      <c r="E8" s="454"/>
      <c r="F8" s="454"/>
      <c r="G8" s="454"/>
    </row>
    <row r="9" spans="1:7" ht="14.25" customHeight="1" x14ac:dyDescent="0.2">
      <c r="A9" s="454"/>
      <c r="B9" s="454"/>
      <c r="C9" s="454"/>
      <c r="D9" s="454"/>
      <c r="E9" s="454"/>
      <c r="F9" s="454"/>
      <c r="G9" s="454"/>
    </row>
    <row r="10" spans="1:7" ht="14.25" customHeight="1" x14ac:dyDescent="0.2">
      <c r="A10" s="454"/>
      <c r="B10" s="454"/>
      <c r="C10" s="454"/>
      <c r="D10" s="454"/>
      <c r="E10" s="454"/>
      <c r="F10" s="454"/>
      <c r="G10" s="454"/>
    </row>
    <row r="11" spans="1:7" ht="14.25" customHeight="1" x14ac:dyDescent="0.2">
      <c r="A11" s="454"/>
      <c r="B11" s="454"/>
      <c r="C11" s="454"/>
      <c r="D11" s="454"/>
      <c r="E11" s="454"/>
      <c r="F11" s="454"/>
      <c r="G11" s="454"/>
    </row>
    <row r="12" spans="1:7" ht="14.25" customHeight="1" x14ac:dyDescent="0.2">
      <c r="A12" s="454"/>
      <c r="B12" s="454"/>
      <c r="C12" s="454"/>
      <c r="D12" s="454"/>
      <c r="E12" s="454"/>
      <c r="F12" s="454"/>
      <c r="G12" s="454"/>
    </row>
    <row r="13" spans="1:7" ht="14.25" customHeight="1" x14ac:dyDescent="0.2">
      <c r="A13" s="454"/>
      <c r="B13" s="454"/>
      <c r="C13" s="454"/>
      <c r="D13" s="454"/>
      <c r="E13" s="454"/>
      <c r="F13" s="454"/>
      <c r="G13" s="454"/>
    </row>
    <row r="14" spans="1:7" ht="14.25" customHeight="1" x14ac:dyDescent="0.2">
      <c r="A14" s="454"/>
      <c r="B14" s="454"/>
      <c r="C14" s="454"/>
      <c r="D14" s="454"/>
      <c r="E14" s="454"/>
      <c r="F14" s="454"/>
      <c r="G14" s="454"/>
    </row>
    <row r="15" spans="1:7" ht="19.5" customHeight="1" x14ac:dyDescent="0.3">
      <c r="A15" s="278"/>
      <c r="B15" s="278"/>
      <c r="C15" s="278"/>
      <c r="D15" s="278"/>
      <c r="E15" s="278"/>
      <c r="F15" s="278"/>
      <c r="G15" s="278"/>
    </row>
    <row r="16" spans="1:7" ht="19.5" customHeight="1" x14ac:dyDescent="0.3">
      <c r="A16" s="476" t="s">
        <v>31</v>
      </c>
      <c r="B16" s="477"/>
      <c r="C16" s="477"/>
      <c r="D16" s="477"/>
      <c r="E16" s="477"/>
      <c r="F16" s="477"/>
      <c r="G16" s="477"/>
    </row>
    <row r="17" spans="1:7" ht="18.75" customHeight="1" x14ac:dyDescent="0.3">
      <c r="A17" s="279" t="s">
        <v>47</v>
      </c>
      <c r="B17" s="279"/>
      <c r="C17" s="278"/>
      <c r="D17" s="278"/>
      <c r="E17" s="278"/>
      <c r="F17" s="278"/>
      <c r="G17" s="278"/>
    </row>
    <row r="18" spans="1:7" ht="26.25" customHeight="1" x14ac:dyDescent="0.4">
      <c r="A18" s="280" t="s">
        <v>33</v>
      </c>
      <c r="B18" s="478" t="s">
        <v>5</v>
      </c>
      <c r="C18" s="478"/>
      <c r="D18" s="281"/>
      <c r="E18" s="281"/>
      <c r="F18" s="278"/>
      <c r="G18" s="278"/>
    </row>
    <row r="19" spans="1:7" ht="26.25" customHeight="1" x14ac:dyDescent="0.4">
      <c r="A19" s="280" t="s">
        <v>34</v>
      </c>
      <c r="B19" s="440" t="s">
        <v>7</v>
      </c>
      <c r="C19" s="441">
        <v>13</v>
      </c>
      <c r="D19" s="278"/>
      <c r="E19" s="278"/>
      <c r="F19" s="278"/>
      <c r="G19" s="278"/>
    </row>
    <row r="20" spans="1:7" ht="26.25" customHeight="1" x14ac:dyDescent="0.4">
      <c r="A20" s="280" t="s">
        <v>35</v>
      </c>
      <c r="B20" s="470" t="s">
        <v>127</v>
      </c>
      <c r="C20" s="470"/>
      <c r="D20" s="278"/>
      <c r="E20" s="278"/>
      <c r="F20" s="278"/>
      <c r="G20" s="278"/>
    </row>
    <row r="21" spans="1:7" ht="26.25" customHeight="1" x14ac:dyDescent="0.4">
      <c r="A21" s="280" t="s">
        <v>36</v>
      </c>
      <c r="B21" s="282" t="s">
        <v>11</v>
      </c>
      <c r="C21" s="282"/>
      <c r="D21" s="283"/>
      <c r="E21" s="283"/>
      <c r="F21" s="283"/>
      <c r="G21" s="283"/>
    </row>
    <row r="22" spans="1:7" ht="26.25" customHeight="1" x14ac:dyDescent="0.4">
      <c r="A22" s="280" t="s">
        <v>37</v>
      </c>
      <c r="B22" s="284">
        <v>42521</v>
      </c>
      <c r="C22" s="285"/>
      <c r="D22" s="278"/>
      <c r="E22" s="278"/>
      <c r="F22" s="278"/>
      <c r="G22" s="278"/>
    </row>
    <row r="23" spans="1:7" ht="26.25" customHeight="1" x14ac:dyDescent="0.4">
      <c r="A23" s="280" t="s">
        <v>38</v>
      </c>
      <c r="B23" s="284">
        <v>42523</v>
      </c>
      <c r="C23" s="285"/>
      <c r="D23" s="278"/>
      <c r="E23" s="278"/>
      <c r="F23" s="278"/>
      <c r="G23" s="278"/>
    </row>
    <row r="24" spans="1:7" ht="18.75" customHeight="1" x14ac:dyDescent="0.3">
      <c r="A24" s="280"/>
      <c r="B24" s="286"/>
      <c r="C24" s="278"/>
      <c r="D24" s="278"/>
      <c r="E24" s="278"/>
      <c r="F24" s="278"/>
      <c r="G24" s="278"/>
    </row>
    <row r="25" spans="1:7" ht="18.75" customHeight="1" x14ac:dyDescent="0.3">
      <c r="A25" s="287" t="s">
        <v>1</v>
      </c>
      <c r="B25" s="286"/>
      <c r="C25" s="278"/>
      <c r="D25" s="278"/>
      <c r="E25" s="278"/>
      <c r="F25" s="278"/>
      <c r="G25" s="278"/>
    </row>
    <row r="26" spans="1:7" ht="26.25" customHeight="1" x14ac:dyDescent="0.4">
      <c r="A26" s="288" t="s">
        <v>4</v>
      </c>
      <c r="B26" s="469" t="s">
        <v>127</v>
      </c>
      <c r="C26" s="469"/>
      <c r="D26" s="278"/>
      <c r="E26" s="278"/>
      <c r="F26" s="278"/>
      <c r="G26" s="278"/>
    </row>
    <row r="27" spans="1:7" ht="26.25" customHeight="1" x14ac:dyDescent="0.4">
      <c r="A27" s="289" t="s">
        <v>48</v>
      </c>
      <c r="B27" s="470" t="s">
        <v>128</v>
      </c>
      <c r="C27" s="470"/>
      <c r="D27" s="278"/>
      <c r="E27" s="278"/>
      <c r="F27" s="278"/>
      <c r="G27" s="278"/>
    </row>
    <row r="28" spans="1:7" ht="27" customHeight="1" x14ac:dyDescent="0.4">
      <c r="A28" s="289" t="s">
        <v>6</v>
      </c>
      <c r="B28" s="290">
        <v>99.58</v>
      </c>
      <c r="C28" s="278"/>
      <c r="D28" s="278"/>
      <c r="E28" s="278"/>
      <c r="F28" s="278"/>
      <c r="G28" s="278"/>
    </row>
    <row r="29" spans="1:7" ht="27" customHeight="1" x14ac:dyDescent="0.4">
      <c r="A29" s="289" t="s">
        <v>49</v>
      </c>
      <c r="B29" s="291">
        <v>0</v>
      </c>
      <c r="C29" s="456" t="s">
        <v>109</v>
      </c>
      <c r="D29" s="457"/>
      <c r="E29" s="457"/>
      <c r="F29" s="457"/>
      <c r="G29" s="474"/>
    </row>
    <row r="30" spans="1:7" ht="19.5" customHeight="1" x14ac:dyDescent="0.3">
      <c r="A30" s="289" t="s">
        <v>51</v>
      </c>
      <c r="B30" s="293">
        <f>B28-B29</f>
        <v>99.58</v>
      </c>
      <c r="C30" s="294"/>
      <c r="D30" s="294"/>
      <c r="E30" s="294"/>
      <c r="F30" s="294"/>
      <c r="G30" s="294"/>
    </row>
    <row r="31" spans="1:7" ht="27" customHeight="1" x14ac:dyDescent="0.4">
      <c r="A31" s="289" t="s">
        <v>52</v>
      </c>
      <c r="B31" s="295">
        <v>1</v>
      </c>
      <c r="C31" s="456" t="s">
        <v>53</v>
      </c>
      <c r="D31" s="457"/>
      <c r="E31" s="457"/>
      <c r="F31" s="457"/>
      <c r="G31" s="474"/>
    </row>
    <row r="32" spans="1:7" ht="27" customHeight="1" x14ac:dyDescent="0.4">
      <c r="A32" s="289" t="s">
        <v>54</v>
      </c>
      <c r="B32" s="295">
        <v>1</v>
      </c>
      <c r="C32" s="456" t="s">
        <v>55</v>
      </c>
      <c r="D32" s="457"/>
      <c r="E32" s="457"/>
      <c r="F32" s="457"/>
      <c r="G32" s="474"/>
    </row>
    <row r="33" spans="1:7" ht="18.75" customHeight="1" x14ac:dyDescent="0.3">
      <c r="A33" s="289"/>
      <c r="B33" s="297"/>
      <c r="C33" s="298"/>
      <c r="D33" s="298"/>
      <c r="E33" s="298"/>
      <c r="F33" s="298"/>
      <c r="G33" s="298"/>
    </row>
    <row r="34" spans="1:7" ht="18.75" customHeight="1" x14ac:dyDescent="0.3">
      <c r="A34" s="289" t="s">
        <v>56</v>
      </c>
      <c r="B34" s="299">
        <f>B31/B32</f>
        <v>1</v>
      </c>
      <c r="C34" s="278" t="s">
        <v>57</v>
      </c>
      <c r="D34" s="278"/>
      <c r="E34" s="278"/>
      <c r="F34" s="278"/>
      <c r="G34" s="278"/>
    </row>
    <row r="35" spans="1:7" ht="19.5" customHeight="1" x14ac:dyDescent="0.3">
      <c r="A35" s="289"/>
      <c r="B35" s="293"/>
      <c r="C35" s="292"/>
      <c r="D35" s="292"/>
      <c r="E35" s="292"/>
      <c r="F35" s="292"/>
      <c r="G35" s="278"/>
    </row>
    <row r="36" spans="1:7" ht="27" customHeight="1" x14ac:dyDescent="0.4">
      <c r="A36" s="300" t="s">
        <v>104</v>
      </c>
      <c r="B36" s="301">
        <v>50</v>
      </c>
      <c r="C36" s="278"/>
      <c r="D36" s="458" t="s">
        <v>58</v>
      </c>
      <c r="E36" s="459"/>
      <c r="F36" s="458" t="s">
        <v>59</v>
      </c>
      <c r="G36" s="459"/>
    </row>
    <row r="37" spans="1:7" ht="26.25" customHeight="1" x14ac:dyDescent="0.4">
      <c r="A37" s="302" t="s">
        <v>60</v>
      </c>
      <c r="B37" s="303">
        <v>1</v>
      </c>
      <c r="C37" s="304" t="s">
        <v>61</v>
      </c>
      <c r="D37" s="305" t="s">
        <v>62</v>
      </c>
      <c r="E37" s="306" t="s">
        <v>63</v>
      </c>
      <c r="F37" s="305" t="s">
        <v>62</v>
      </c>
      <c r="G37" s="307" t="s">
        <v>63</v>
      </c>
    </row>
    <row r="38" spans="1:7" ht="26.25" customHeight="1" x14ac:dyDescent="0.4">
      <c r="A38" s="302" t="s">
        <v>64</v>
      </c>
      <c r="B38" s="303">
        <v>100</v>
      </c>
      <c r="C38" s="308">
        <v>1</v>
      </c>
      <c r="D38" s="309">
        <v>3799323</v>
      </c>
      <c r="E38" s="310">
        <f>IF(ISBLANK(D38),"-",$D$48/$D$45*D38)</f>
        <v>4098117.5717821503</v>
      </c>
      <c r="F38" s="309">
        <v>4537452</v>
      </c>
      <c r="G38" s="311">
        <f>IF(ISBLANK(F38),"-",$D$48/$F$45*F38)</f>
        <v>4207377.3560867002</v>
      </c>
    </row>
    <row r="39" spans="1:7" ht="26.25" customHeight="1" x14ac:dyDescent="0.4">
      <c r="A39" s="302" t="s">
        <v>65</v>
      </c>
      <c r="B39" s="303">
        <v>1</v>
      </c>
      <c r="C39" s="312">
        <v>2</v>
      </c>
      <c r="D39" s="313">
        <v>3802848</v>
      </c>
      <c r="E39" s="314">
        <f>IF(ISBLANK(D39),"-",$D$48/$D$45*D39)</f>
        <v>4101919.7924516043</v>
      </c>
      <c r="F39" s="313">
        <v>4539345</v>
      </c>
      <c r="G39" s="315">
        <f>IF(ISBLANK(F39),"-",$D$48/$F$45*F39)</f>
        <v>4209132.6507620094</v>
      </c>
    </row>
    <row r="40" spans="1:7" ht="26.25" customHeight="1" x14ac:dyDescent="0.4">
      <c r="A40" s="302" t="s">
        <v>66</v>
      </c>
      <c r="B40" s="303">
        <v>1</v>
      </c>
      <c r="C40" s="312">
        <v>3</v>
      </c>
      <c r="D40" s="313">
        <v>3808401</v>
      </c>
      <c r="E40" s="314">
        <f>IF(ISBLANK(D40),"-",$D$48/$D$45*D40)</f>
        <v>4107909.5034806761</v>
      </c>
      <c r="F40" s="313">
        <v>4533244</v>
      </c>
      <c r="G40" s="315">
        <f>IF(ISBLANK(F40),"-",$D$48/$F$45*F40)</f>
        <v>4203475.4649120029</v>
      </c>
    </row>
    <row r="41" spans="1:7" ht="26.25" customHeight="1" x14ac:dyDescent="0.4">
      <c r="A41" s="302" t="s">
        <v>67</v>
      </c>
      <c r="B41" s="303">
        <v>1</v>
      </c>
      <c r="C41" s="316">
        <v>4</v>
      </c>
      <c r="D41" s="317"/>
      <c r="E41" s="318" t="str">
        <f>IF(ISBLANK(D41),"-",$D$48/$D$45*D41)</f>
        <v>-</v>
      </c>
      <c r="F41" s="317"/>
      <c r="G41" s="319" t="str">
        <f>IF(ISBLANK(F41),"-",$D$48/$F$45*F41)</f>
        <v>-</v>
      </c>
    </row>
    <row r="42" spans="1:7" ht="27" customHeight="1" x14ac:dyDescent="0.4">
      <c r="A42" s="302" t="s">
        <v>68</v>
      </c>
      <c r="B42" s="303">
        <v>1</v>
      </c>
      <c r="C42" s="320" t="s">
        <v>69</v>
      </c>
      <c r="D42" s="321">
        <f>AVERAGE(D38:D41)</f>
        <v>3803524</v>
      </c>
      <c r="E42" s="322">
        <f>AVERAGE(E38:E41)</f>
        <v>4102648.9559048102</v>
      </c>
      <c r="F42" s="321">
        <f>AVERAGE(F38:F41)</f>
        <v>4536680.333333333</v>
      </c>
      <c r="G42" s="323">
        <f>AVERAGE(G38:G41)</f>
        <v>4206661.8239202378</v>
      </c>
    </row>
    <row r="43" spans="1:7" ht="26.25" customHeight="1" x14ac:dyDescent="0.4">
      <c r="A43" s="302" t="s">
        <v>70</v>
      </c>
      <c r="B43" s="303">
        <v>1</v>
      </c>
      <c r="C43" s="324" t="s">
        <v>96</v>
      </c>
      <c r="D43" s="325">
        <v>18.62</v>
      </c>
      <c r="E43" s="326"/>
      <c r="F43" s="325">
        <v>21.66</v>
      </c>
      <c r="G43" s="278"/>
    </row>
    <row r="44" spans="1:7" ht="26.25" customHeight="1" x14ac:dyDescent="0.4">
      <c r="A44" s="302" t="s">
        <v>71</v>
      </c>
      <c r="B44" s="303">
        <v>1</v>
      </c>
      <c r="C44" s="327" t="s">
        <v>97</v>
      </c>
      <c r="D44" s="328">
        <f>D43*$B$34</f>
        <v>18.62</v>
      </c>
      <c r="E44" s="329"/>
      <c r="F44" s="328">
        <f>F43*$B$34</f>
        <v>21.66</v>
      </c>
      <c r="G44" s="278"/>
    </row>
    <row r="45" spans="1:7" ht="19.5" customHeight="1" x14ac:dyDescent="0.3">
      <c r="A45" s="302" t="s">
        <v>72</v>
      </c>
      <c r="B45" s="330">
        <f>(B44/B43)*(B42/B41)*(B40/B39)*(B38/B37)*B36</f>
        <v>5000</v>
      </c>
      <c r="C45" s="327" t="s">
        <v>73</v>
      </c>
      <c r="D45" s="331">
        <f>D44*$B$30/100</f>
        <v>18.541796000000001</v>
      </c>
      <c r="E45" s="332"/>
      <c r="F45" s="331">
        <f>F44*$B$30/100</f>
        <v>21.569027999999999</v>
      </c>
      <c r="G45" s="278"/>
    </row>
    <row r="46" spans="1:7" ht="19.5" customHeight="1" x14ac:dyDescent="0.3">
      <c r="A46" s="460" t="s">
        <v>74</v>
      </c>
      <c r="B46" s="461"/>
      <c r="C46" s="327" t="s">
        <v>75</v>
      </c>
      <c r="D46" s="328">
        <f>D45/$B$45</f>
        <v>3.7083592000000001E-3</v>
      </c>
      <c r="E46" s="332"/>
      <c r="F46" s="333">
        <f>F45/$B$45</f>
        <v>4.3138055999999998E-3</v>
      </c>
      <c r="G46" s="278"/>
    </row>
    <row r="47" spans="1:7" ht="27" customHeight="1" x14ac:dyDescent="0.4">
      <c r="A47" s="462"/>
      <c r="B47" s="463"/>
      <c r="C47" s="334" t="s">
        <v>105</v>
      </c>
      <c r="D47" s="335">
        <v>4.0000000000000001E-3</v>
      </c>
      <c r="E47" s="278"/>
      <c r="F47" s="336"/>
      <c r="G47" s="278"/>
    </row>
    <row r="48" spans="1:7" ht="18.75" customHeight="1" x14ac:dyDescent="0.3">
      <c r="A48" s="278"/>
      <c r="B48" s="278"/>
      <c r="C48" s="337" t="s">
        <v>76</v>
      </c>
      <c r="D48" s="331">
        <f>D47*$B$45</f>
        <v>20</v>
      </c>
      <c r="E48" s="278"/>
      <c r="F48" s="336"/>
      <c r="G48" s="278"/>
    </row>
    <row r="49" spans="1:7" ht="19.5" customHeight="1" x14ac:dyDescent="0.3">
      <c r="A49" s="278"/>
      <c r="B49" s="278"/>
      <c r="C49" s="338" t="s">
        <v>77</v>
      </c>
      <c r="D49" s="339">
        <f>D48/B34</f>
        <v>20</v>
      </c>
      <c r="E49" s="278"/>
      <c r="F49" s="336"/>
      <c r="G49" s="278"/>
    </row>
    <row r="50" spans="1:7" ht="18.75" customHeight="1" x14ac:dyDescent="0.3">
      <c r="A50" s="278"/>
      <c r="B50" s="278"/>
      <c r="C50" s="300" t="s">
        <v>78</v>
      </c>
      <c r="D50" s="340">
        <f>AVERAGE(E38:E41,G38:G41)</f>
        <v>4154655.3899125247</v>
      </c>
      <c r="E50" s="278"/>
      <c r="F50" s="341"/>
      <c r="G50" s="278"/>
    </row>
    <row r="51" spans="1:7" ht="18.75" customHeight="1" x14ac:dyDescent="0.3">
      <c r="A51" s="278"/>
      <c r="B51" s="278"/>
      <c r="C51" s="302" t="s">
        <v>79</v>
      </c>
      <c r="D51" s="342">
        <f>STDEV(E38:E41,G38:G41)/D50</f>
        <v>1.3740024129955482E-2</v>
      </c>
      <c r="E51" s="278"/>
      <c r="F51" s="341"/>
      <c r="G51" s="278"/>
    </row>
    <row r="52" spans="1:7" ht="19.5" customHeight="1" x14ac:dyDescent="0.3">
      <c r="A52" s="278"/>
      <c r="B52" s="278"/>
      <c r="C52" s="343" t="s">
        <v>20</v>
      </c>
      <c r="D52" s="344">
        <f>COUNT(E38:E41,G38:G41)</f>
        <v>6</v>
      </c>
      <c r="E52" s="278"/>
      <c r="F52" s="341"/>
      <c r="G52" s="278"/>
    </row>
    <row r="53" spans="1:7" ht="18.75" customHeight="1" x14ac:dyDescent="0.3">
      <c r="A53" s="278"/>
      <c r="B53" s="278"/>
      <c r="C53" s="278"/>
      <c r="D53" s="278"/>
      <c r="E53" s="278"/>
      <c r="F53" s="278"/>
      <c r="G53" s="278"/>
    </row>
    <row r="54" spans="1:7" ht="18.75" customHeight="1" x14ac:dyDescent="0.3">
      <c r="A54" s="279" t="s">
        <v>1</v>
      </c>
      <c r="B54" s="345" t="s">
        <v>80</v>
      </c>
      <c r="C54" s="278"/>
      <c r="D54" s="278"/>
      <c r="E54" s="278"/>
      <c r="F54" s="278"/>
      <c r="G54" s="278"/>
    </row>
    <row r="55" spans="1:7" ht="18.75" customHeight="1" x14ac:dyDescent="0.3">
      <c r="A55" s="278" t="s">
        <v>81</v>
      </c>
      <c r="B55" s="346" t="str">
        <f>B21</f>
        <v>Each tablet contains: Levothyroxine Sodium 100 mcg</v>
      </c>
      <c r="C55" s="278"/>
      <c r="D55" s="278"/>
      <c r="E55" s="278"/>
      <c r="F55" s="278"/>
      <c r="G55" s="278"/>
    </row>
    <row r="56" spans="1:7" ht="26.25" customHeight="1" x14ac:dyDescent="0.4">
      <c r="A56" s="347" t="s">
        <v>82</v>
      </c>
      <c r="B56" s="348">
        <v>0.1</v>
      </c>
      <c r="C56" s="278" t="str">
        <f>B20</f>
        <v>Levothyroxine Sodium</v>
      </c>
      <c r="D56" s="278"/>
      <c r="E56" s="278"/>
      <c r="F56" s="278"/>
      <c r="G56" s="278"/>
    </row>
    <row r="57" spans="1:7" ht="17.25" customHeight="1" x14ac:dyDescent="0.3">
      <c r="A57" s="349" t="s">
        <v>83</v>
      </c>
      <c r="B57" s="349">
        <f>Uniformity!C46</f>
        <v>116.9</v>
      </c>
      <c r="C57" s="349"/>
      <c r="D57" s="350"/>
      <c r="E57" s="350"/>
      <c r="F57" s="350"/>
      <c r="G57" s="350"/>
    </row>
    <row r="58" spans="1:7" ht="57.75" customHeight="1" x14ac:dyDescent="0.4">
      <c r="A58" s="300" t="s">
        <v>106</v>
      </c>
      <c r="B58" s="301">
        <v>25</v>
      </c>
      <c r="C58" s="351" t="s">
        <v>110</v>
      </c>
      <c r="D58" s="352" t="s">
        <v>111</v>
      </c>
      <c r="E58" s="353" t="s">
        <v>112</v>
      </c>
      <c r="F58" s="354" t="s">
        <v>113</v>
      </c>
      <c r="G58" s="355" t="s">
        <v>114</v>
      </c>
    </row>
    <row r="59" spans="1:7" ht="26.25" customHeight="1" x14ac:dyDescent="0.4">
      <c r="A59" s="302" t="s">
        <v>60</v>
      </c>
      <c r="B59" s="303">
        <v>1</v>
      </c>
      <c r="C59" s="356">
        <v>1</v>
      </c>
      <c r="D59" s="357">
        <v>4067965</v>
      </c>
      <c r="E59" s="358">
        <f t="shared" ref="E59:E68" si="0">IF(ISBLANK(D59),"-",D59/$D$50*$D$47*$B$67)</f>
        <v>9.7913415631943682E-2</v>
      </c>
      <c r="F59" s="359">
        <f t="shared" ref="F59:F68" si="1">IF(ISBLANK(D59),"-",E59/$E$70*100)</f>
        <v>106.96356691751436</v>
      </c>
      <c r="G59" s="360">
        <f t="shared" ref="G59:G68" si="2">IF(ISBLANK(D59),"-",E59/$B$56*100)</f>
        <v>97.913415631943678</v>
      </c>
    </row>
    <row r="60" spans="1:7" ht="26.25" customHeight="1" x14ac:dyDescent="0.4">
      <c r="A60" s="302" t="s">
        <v>64</v>
      </c>
      <c r="B60" s="303">
        <v>1</v>
      </c>
      <c r="C60" s="361">
        <v>2</v>
      </c>
      <c r="D60" s="362">
        <v>3648872</v>
      </c>
      <c r="E60" s="363">
        <f t="shared" si="0"/>
        <v>8.7826104876458269E-2</v>
      </c>
      <c r="F60" s="364">
        <f t="shared" si="1"/>
        <v>95.94388455786725</v>
      </c>
      <c r="G60" s="365">
        <f t="shared" si="2"/>
        <v>87.82610487645826</v>
      </c>
    </row>
    <row r="61" spans="1:7" ht="26.25" customHeight="1" x14ac:dyDescent="0.4">
      <c r="A61" s="302" t="s">
        <v>65</v>
      </c>
      <c r="B61" s="303">
        <v>1</v>
      </c>
      <c r="C61" s="361">
        <v>3</v>
      </c>
      <c r="D61" s="362">
        <v>3737497</v>
      </c>
      <c r="E61" s="363">
        <f t="shared" si="0"/>
        <v>8.9959254119478069E-2</v>
      </c>
      <c r="F61" s="364">
        <f t="shared" si="1"/>
        <v>98.274201096496455</v>
      </c>
      <c r="G61" s="365">
        <f t="shared" si="2"/>
        <v>89.959254119478061</v>
      </c>
    </row>
    <row r="62" spans="1:7" ht="26.25" customHeight="1" x14ac:dyDescent="0.4">
      <c r="A62" s="302" t="s">
        <v>66</v>
      </c>
      <c r="B62" s="303">
        <v>1</v>
      </c>
      <c r="C62" s="361">
        <v>4</v>
      </c>
      <c r="D62" s="362">
        <v>3877944</v>
      </c>
      <c r="E62" s="363">
        <f t="shared" si="0"/>
        <v>9.3339727030444505E-2</v>
      </c>
      <c r="F62" s="364">
        <f t="shared" si="1"/>
        <v>101.96713161159776</v>
      </c>
      <c r="G62" s="365">
        <f t="shared" si="2"/>
        <v>93.339727030444493</v>
      </c>
    </row>
    <row r="63" spans="1:7" ht="26.25" customHeight="1" x14ac:dyDescent="0.4">
      <c r="A63" s="302" t="s">
        <v>67</v>
      </c>
      <c r="B63" s="303">
        <v>1</v>
      </c>
      <c r="C63" s="361">
        <v>5</v>
      </c>
      <c r="D63" s="362">
        <v>3815174</v>
      </c>
      <c r="E63" s="363">
        <f t="shared" si="0"/>
        <v>9.1828891735839677E-2</v>
      </c>
      <c r="F63" s="364">
        <f t="shared" si="1"/>
        <v>100.31664959038756</v>
      </c>
      <c r="G63" s="365">
        <f t="shared" si="2"/>
        <v>91.828891735839662</v>
      </c>
    </row>
    <row r="64" spans="1:7" ht="26.25" customHeight="1" x14ac:dyDescent="0.4">
      <c r="A64" s="302" t="s">
        <v>68</v>
      </c>
      <c r="B64" s="303">
        <v>1</v>
      </c>
      <c r="C64" s="361">
        <v>6</v>
      </c>
      <c r="D64" s="362">
        <v>3890217</v>
      </c>
      <c r="E64" s="363">
        <f t="shared" si="0"/>
        <v>9.3635130592188726E-2</v>
      </c>
      <c r="F64" s="364">
        <f t="shared" si="1"/>
        <v>102.28983936763269</v>
      </c>
      <c r="G64" s="365">
        <f t="shared" si="2"/>
        <v>93.635130592188716</v>
      </c>
    </row>
    <row r="65" spans="1:7" ht="26.25" customHeight="1" x14ac:dyDescent="0.4">
      <c r="A65" s="302" t="s">
        <v>70</v>
      </c>
      <c r="B65" s="303">
        <v>1</v>
      </c>
      <c r="C65" s="361">
        <v>7</v>
      </c>
      <c r="D65" s="362">
        <v>3545597</v>
      </c>
      <c r="E65" s="363">
        <f t="shared" si="0"/>
        <v>8.5340339143619132E-2</v>
      </c>
      <c r="F65" s="364">
        <f t="shared" si="1"/>
        <v>93.228359135842652</v>
      </c>
      <c r="G65" s="365">
        <f t="shared" si="2"/>
        <v>85.340339143619133</v>
      </c>
    </row>
    <row r="66" spans="1:7" ht="26.25" customHeight="1" x14ac:dyDescent="0.4">
      <c r="A66" s="302" t="s">
        <v>71</v>
      </c>
      <c r="B66" s="303">
        <v>1</v>
      </c>
      <c r="C66" s="361">
        <v>8</v>
      </c>
      <c r="D66" s="362">
        <v>4080506</v>
      </c>
      <c r="E66" s="363">
        <f t="shared" si="0"/>
        <v>9.8215269788860027E-2</v>
      </c>
      <c r="F66" s="364">
        <f t="shared" si="1"/>
        <v>107.29332149817388</v>
      </c>
      <c r="G66" s="365">
        <f t="shared" si="2"/>
        <v>98.215269788860027</v>
      </c>
    </row>
    <row r="67" spans="1:7" ht="27" customHeight="1" thickBot="1" x14ac:dyDescent="0.45">
      <c r="A67" s="302" t="s">
        <v>72</v>
      </c>
      <c r="B67" s="330">
        <f>(B66/B65)*(B64/B63)*(B62/B61)*(B60/B59)*B58</f>
        <v>25</v>
      </c>
      <c r="C67" s="361">
        <v>9</v>
      </c>
      <c r="D67" s="362">
        <v>3971007</v>
      </c>
      <c r="E67" s="363">
        <f t="shared" si="0"/>
        <v>9.5579696203963824E-2</v>
      </c>
      <c r="F67" s="364">
        <f t="shared" si="1"/>
        <v>104.41414146248009</v>
      </c>
      <c r="G67" s="365">
        <f t="shared" si="2"/>
        <v>95.57969620396382</v>
      </c>
    </row>
    <row r="68" spans="1:7" ht="27" customHeight="1" thickBot="1" x14ac:dyDescent="0.45">
      <c r="A68" s="460" t="s">
        <v>74</v>
      </c>
      <c r="B68" s="461"/>
      <c r="C68" s="366">
        <v>10</v>
      </c>
      <c r="D68" s="367">
        <v>3396535</v>
      </c>
      <c r="E68" s="368">
        <f t="shared" si="0"/>
        <v>8.1752508481130928E-2</v>
      </c>
      <c r="F68" s="369">
        <f t="shared" si="1"/>
        <v>89.30890476200743</v>
      </c>
      <c r="G68" s="370">
        <f t="shared" si="2"/>
        <v>81.752508481130931</v>
      </c>
    </row>
    <row r="69" spans="1:7" ht="19.5" customHeight="1" thickBot="1" x14ac:dyDescent="0.35">
      <c r="A69" s="462"/>
      <c r="B69" s="463"/>
      <c r="C69" s="361"/>
      <c r="D69" s="332"/>
      <c r="E69" s="371"/>
      <c r="F69" s="350"/>
      <c r="G69" s="372"/>
    </row>
    <row r="70" spans="1:7" ht="26.25" customHeight="1" x14ac:dyDescent="0.4">
      <c r="A70" s="350"/>
      <c r="B70" s="350"/>
      <c r="C70" s="373" t="s">
        <v>115</v>
      </c>
      <c r="D70" s="374"/>
      <c r="E70" s="375">
        <f>AVERAGE(E59:E68)</f>
        <v>9.1539033760392671E-2</v>
      </c>
      <c r="F70" s="376">
        <f>AVERAGE(F59:F68)</f>
        <v>100.00000000000001</v>
      </c>
      <c r="G70" s="377">
        <f>AVERAGE(G59:G68)</f>
        <v>91.53903376039267</v>
      </c>
    </row>
    <row r="71" spans="1:7" ht="26.25" customHeight="1" x14ac:dyDescent="0.4">
      <c r="A71" s="350"/>
      <c r="B71" s="350"/>
      <c r="C71" s="373"/>
      <c r="D71" s="374"/>
      <c r="E71" s="378">
        <f>STDEV(E59:E68)/E70</f>
        <v>5.8686244586255917E-2</v>
      </c>
      <c r="F71" s="378">
        <f>STDEV(F59:F68)/F70</f>
        <v>5.8686244586255924E-2</v>
      </c>
      <c r="G71" s="379">
        <f>STDEV(G59:G68)/G70</f>
        <v>5.8686244586255903E-2</v>
      </c>
    </row>
    <row r="72" spans="1:7" ht="27" customHeight="1" x14ac:dyDescent="0.4">
      <c r="A72" s="350"/>
      <c r="B72" s="350"/>
      <c r="C72" s="380"/>
      <c r="D72" s="381"/>
      <c r="E72" s="382">
        <f>COUNT(E59:E68)</f>
        <v>10</v>
      </c>
      <c r="F72" s="382">
        <f>COUNT(F59:F68)</f>
        <v>10</v>
      </c>
      <c r="G72" s="383">
        <f>COUNT(G59:G68)</f>
        <v>10</v>
      </c>
    </row>
    <row r="73" spans="1:7" ht="18.75" customHeight="1" x14ac:dyDescent="0.3">
      <c r="A73" s="350"/>
      <c r="B73" s="384"/>
      <c r="C73" s="384"/>
      <c r="D73" s="329"/>
      <c r="E73" s="374"/>
      <c r="F73" s="326"/>
      <c r="G73" s="385"/>
    </row>
    <row r="74" spans="1:7" ht="18.75" customHeight="1" x14ac:dyDescent="0.3">
      <c r="A74" s="288" t="s">
        <v>107</v>
      </c>
      <c r="B74" s="386" t="s">
        <v>92</v>
      </c>
      <c r="C74" s="464" t="str">
        <f>B20</f>
        <v>Levothyroxine Sodium</v>
      </c>
      <c r="D74" s="464"/>
      <c r="E74" s="387" t="s">
        <v>93</v>
      </c>
      <c r="F74" s="387"/>
      <c r="G74" s="388">
        <f>G70</f>
        <v>91.53903376039267</v>
      </c>
    </row>
    <row r="75" spans="1:7" ht="18.75" customHeight="1" x14ac:dyDescent="0.3">
      <c r="A75" s="288"/>
      <c r="B75" s="386"/>
      <c r="C75" s="389"/>
      <c r="D75" s="389"/>
      <c r="E75" s="387"/>
      <c r="F75" s="387"/>
      <c r="G75" s="390"/>
    </row>
    <row r="76" spans="1:7" ht="18.75" customHeight="1" x14ac:dyDescent="0.3">
      <c r="A76" s="279" t="s">
        <v>1</v>
      </c>
      <c r="B76" s="391" t="s">
        <v>116</v>
      </c>
      <c r="C76" s="278"/>
      <c r="D76" s="278"/>
      <c r="E76" s="278"/>
      <c r="F76" s="278"/>
      <c r="G76" s="350"/>
    </row>
    <row r="77" spans="1:7" ht="18.75" customHeight="1" x14ac:dyDescent="0.3">
      <c r="A77" s="279"/>
      <c r="B77" s="345"/>
      <c r="C77" s="278"/>
      <c r="D77" s="278"/>
      <c r="E77" s="278"/>
      <c r="F77" s="278"/>
      <c r="G77" s="350"/>
    </row>
    <row r="78" spans="1:7" ht="18.75" customHeight="1" x14ac:dyDescent="0.3">
      <c r="A78" s="350"/>
      <c r="B78" s="467" t="s">
        <v>117</v>
      </c>
      <c r="C78" s="468"/>
      <c r="D78" s="278"/>
      <c r="E78" s="350"/>
      <c r="F78" s="350"/>
      <c r="G78" s="350"/>
    </row>
    <row r="79" spans="1:7" ht="18.75" customHeight="1" x14ac:dyDescent="0.3">
      <c r="A79" s="350"/>
      <c r="B79" s="392" t="s">
        <v>43</v>
      </c>
      <c r="C79" s="393">
        <f>G70</f>
        <v>91.53903376039267</v>
      </c>
      <c r="D79" s="278"/>
      <c r="E79" s="350"/>
      <c r="F79" s="350"/>
      <c r="G79" s="350"/>
    </row>
    <row r="80" spans="1:7" ht="26.25" customHeight="1" x14ac:dyDescent="0.4">
      <c r="A80" s="350"/>
      <c r="B80" s="392" t="s">
        <v>118</v>
      </c>
      <c r="C80" s="394">
        <v>2.4</v>
      </c>
      <c r="D80" s="278"/>
      <c r="E80" s="350"/>
      <c r="F80" s="350"/>
      <c r="G80" s="350"/>
    </row>
    <row r="81" spans="1:7" ht="18.75" customHeight="1" x14ac:dyDescent="0.3">
      <c r="A81" s="350"/>
      <c r="B81" s="392" t="s">
        <v>119</v>
      </c>
      <c r="C81" s="393">
        <f>STDEV(G59:G68)</f>
        <v>5.372082124451941</v>
      </c>
      <c r="D81" s="278"/>
      <c r="E81" s="350"/>
      <c r="F81" s="350"/>
      <c r="G81" s="350"/>
    </row>
    <row r="82" spans="1:7" ht="18.75" customHeight="1" x14ac:dyDescent="0.3">
      <c r="A82" s="350"/>
      <c r="B82" s="392" t="s">
        <v>120</v>
      </c>
      <c r="C82" s="393">
        <f>IF(OR(G70&lt;98.5,G70&gt;101.5),(IF(98.5&gt;G70,98.5,101.5)),C79)</f>
        <v>98.5</v>
      </c>
      <c r="D82" s="278"/>
      <c r="E82" s="350"/>
      <c r="F82" s="350"/>
      <c r="G82" s="350"/>
    </row>
    <row r="83" spans="1:7" ht="18.75" customHeight="1" x14ac:dyDescent="0.3">
      <c r="A83" s="350"/>
      <c r="B83" s="392" t="s">
        <v>121</v>
      </c>
      <c r="C83" s="395">
        <f>ABS(C82-C79)+(C80*C81)</f>
        <v>19.85396333829199</v>
      </c>
      <c r="D83" s="278"/>
      <c r="E83" s="350"/>
      <c r="F83" s="350"/>
      <c r="G83" s="350"/>
    </row>
    <row r="84" spans="1:7" ht="18.75" customHeight="1" x14ac:dyDescent="0.3">
      <c r="A84" s="347"/>
      <c r="B84" s="396"/>
      <c r="C84" s="278"/>
      <c r="D84" s="278"/>
      <c r="E84" s="278"/>
      <c r="F84" s="278"/>
      <c r="G84" s="278"/>
    </row>
    <row r="85" spans="1:7" ht="18.75" customHeight="1" x14ac:dyDescent="0.3">
      <c r="A85" s="287" t="s">
        <v>1</v>
      </c>
      <c r="B85" s="286"/>
      <c r="C85" s="278"/>
      <c r="D85" s="278"/>
      <c r="E85" s="278"/>
      <c r="F85" s="278"/>
      <c r="G85" s="278"/>
    </row>
    <row r="86" spans="1:7" ht="26.25" customHeight="1" x14ac:dyDescent="0.4">
      <c r="A86" s="288" t="s">
        <v>4</v>
      </c>
      <c r="B86" s="469" t="s">
        <v>127</v>
      </c>
      <c r="C86" s="469"/>
      <c r="D86" s="278"/>
      <c r="E86" s="278"/>
      <c r="F86" s="278"/>
      <c r="G86" s="278"/>
    </row>
    <row r="87" spans="1:7" ht="26.25" customHeight="1" x14ac:dyDescent="0.4">
      <c r="A87" s="289" t="s">
        <v>48</v>
      </c>
      <c r="B87" s="470" t="s">
        <v>128</v>
      </c>
      <c r="C87" s="470"/>
      <c r="D87" s="278"/>
      <c r="E87" s="278"/>
      <c r="F87" s="278"/>
      <c r="G87" s="278"/>
    </row>
    <row r="88" spans="1:7" ht="27" customHeight="1" x14ac:dyDescent="0.4">
      <c r="A88" s="289" t="s">
        <v>6</v>
      </c>
      <c r="B88" s="290">
        <v>99.58</v>
      </c>
      <c r="C88" s="278"/>
      <c r="D88" s="278"/>
      <c r="E88" s="278"/>
      <c r="F88" s="278"/>
      <c r="G88" s="278"/>
    </row>
    <row r="89" spans="1:7" ht="27" customHeight="1" x14ac:dyDescent="0.4">
      <c r="A89" s="289" t="s">
        <v>49</v>
      </c>
      <c r="B89" s="291">
        <v>0</v>
      </c>
      <c r="C89" s="456" t="s">
        <v>109</v>
      </c>
      <c r="D89" s="457"/>
      <c r="E89" s="457"/>
      <c r="F89" s="457"/>
      <c r="G89" s="474"/>
    </row>
    <row r="90" spans="1:7" ht="19.5" customHeight="1" x14ac:dyDescent="0.3">
      <c r="A90" s="289" t="s">
        <v>51</v>
      </c>
      <c r="B90" s="293">
        <f>B88-B89</f>
        <v>99.58</v>
      </c>
      <c r="C90" s="294"/>
      <c r="D90" s="294"/>
      <c r="E90" s="294"/>
      <c r="F90" s="294"/>
      <c r="G90" s="294"/>
    </row>
    <row r="91" spans="1:7" ht="27" customHeight="1" x14ac:dyDescent="0.4">
      <c r="A91" s="289" t="s">
        <v>52</v>
      </c>
      <c r="B91" s="295">
        <v>1</v>
      </c>
      <c r="C91" s="456" t="s">
        <v>53</v>
      </c>
      <c r="D91" s="457"/>
      <c r="E91" s="457"/>
      <c r="F91" s="457"/>
      <c r="G91" s="474"/>
    </row>
    <row r="92" spans="1:7" ht="27" customHeight="1" x14ac:dyDescent="0.4">
      <c r="A92" s="289" t="s">
        <v>54</v>
      </c>
      <c r="B92" s="295">
        <v>1</v>
      </c>
      <c r="C92" s="456" t="s">
        <v>55</v>
      </c>
      <c r="D92" s="457"/>
      <c r="E92" s="457"/>
      <c r="F92" s="457"/>
      <c r="G92" s="474"/>
    </row>
    <row r="93" spans="1:7" ht="18.75" customHeight="1" x14ac:dyDescent="0.3">
      <c r="A93" s="289"/>
      <c r="B93" s="297"/>
      <c r="C93" s="298"/>
      <c r="D93" s="298"/>
      <c r="E93" s="298"/>
      <c r="F93" s="298"/>
      <c r="G93" s="298"/>
    </row>
    <row r="94" spans="1:7" ht="18.75" customHeight="1" x14ac:dyDescent="0.3">
      <c r="A94" s="289" t="s">
        <v>56</v>
      </c>
      <c r="B94" s="299">
        <f>B91/B92</f>
        <v>1</v>
      </c>
      <c r="C94" s="278" t="s">
        <v>57</v>
      </c>
      <c r="D94" s="278"/>
      <c r="E94" s="278"/>
      <c r="F94" s="278"/>
      <c r="G94" s="278"/>
    </row>
    <row r="95" spans="1:7" ht="19.5" customHeight="1" x14ac:dyDescent="0.3">
      <c r="A95" s="289"/>
      <c r="B95" s="293"/>
      <c r="C95" s="292"/>
      <c r="D95" s="292"/>
      <c r="E95" s="292"/>
      <c r="F95" s="292"/>
      <c r="G95" s="278"/>
    </row>
    <row r="96" spans="1:7" ht="27" customHeight="1" x14ac:dyDescent="0.4">
      <c r="A96" s="300" t="s">
        <v>104</v>
      </c>
      <c r="B96" s="301">
        <v>50</v>
      </c>
      <c r="C96" s="278"/>
      <c r="D96" s="458" t="s">
        <v>58</v>
      </c>
      <c r="E96" s="459"/>
      <c r="F96" s="458" t="s">
        <v>59</v>
      </c>
      <c r="G96" s="459"/>
    </row>
    <row r="97" spans="1:7" ht="26.25" customHeight="1" x14ac:dyDescent="0.4">
      <c r="A97" s="302" t="s">
        <v>60</v>
      </c>
      <c r="B97" s="303">
        <v>3</v>
      </c>
      <c r="C97" s="304" t="s">
        <v>61</v>
      </c>
      <c r="D97" s="305" t="s">
        <v>62</v>
      </c>
      <c r="E97" s="306" t="s">
        <v>63</v>
      </c>
      <c r="F97" s="305" t="s">
        <v>62</v>
      </c>
      <c r="G97" s="307" t="s">
        <v>63</v>
      </c>
    </row>
    <row r="98" spans="1:7" ht="26.25" customHeight="1" x14ac:dyDescent="0.4">
      <c r="A98" s="302" t="s">
        <v>64</v>
      </c>
      <c r="B98" s="303">
        <v>100</v>
      </c>
      <c r="C98" s="308">
        <v>1</v>
      </c>
      <c r="D98" s="309">
        <v>4098796</v>
      </c>
      <c r="E98" s="310">
        <f>IF(ISBLANK(D98),"-",$D$108/$D$105*D98)</f>
        <v>4548158.6197942961</v>
      </c>
      <c r="F98" s="309">
        <v>4859468</v>
      </c>
      <c r="G98" s="311">
        <f>IF(ISBLANK(F98),"-",$D$108/$F$105*F98)</f>
        <v>4404299.5019515185</v>
      </c>
    </row>
    <row r="99" spans="1:7" ht="26.25" customHeight="1" x14ac:dyDescent="0.4">
      <c r="A99" s="302" t="s">
        <v>65</v>
      </c>
      <c r="B99" s="303">
        <v>1</v>
      </c>
      <c r="C99" s="312">
        <v>2</v>
      </c>
      <c r="D99" s="313">
        <v>4106577</v>
      </c>
      <c r="E99" s="314">
        <f>IF(ISBLANK(D99),"-",$D$108/$D$105*D99)</f>
        <v>4556792.6728724726</v>
      </c>
      <c r="F99" s="313">
        <v>4856871</v>
      </c>
      <c r="G99" s="315">
        <f>IF(ISBLANK(F99),"-",$D$108/$F$105*F99)</f>
        <v>4401945.7533916822</v>
      </c>
    </row>
    <row r="100" spans="1:7" ht="26.25" customHeight="1" x14ac:dyDescent="0.4">
      <c r="A100" s="302" t="s">
        <v>66</v>
      </c>
      <c r="B100" s="303">
        <v>1</v>
      </c>
      <c r="C100" s="312">
        <v>3</v>
      </c>
      <c r="D100" s="313">
        <v>4104869</v>
      </c>
      <c r="E100" s="314">
        <f>IF(ISBLANK(D100),"-",$D$108/$D$105*D100)</f>
        <v>4554897.4199926984</v>
      </c>
      <c r="F100" s="313">
        <v>4854210</v>
      </c>
      <c r="G100" s="315">
        <f>IF(ISBLANK(F100),"-",$D$108/$F$105*F100)</f>
        <v>4399533.9994765026</v>
      </c>
    </row>
    <row r="101" spans="1:7" ht="26.25" customHeight="1" x14ac:dyDescent="0.4">
      <c r="A101" s="302" t="s">
        <v>67</v>
      </c>
      <c r="B101" s="303">
        <v>1</v>
      </c>
      <c r="C101" s="316">
        <v>4</v>
      </c>
      <c r="D101" s="317"/>
      <c r="E101" s="318" t="str">
        <f>IF(ISBLANK(D101),"-",$D$108/$D$105*D101)</f>
        <v>-</v>
      </c>
      <c r="F101" s="317"/>
      <c r="G101" s="319" t="str">
        <f>IF(ISBLANK(F101),"-",$D$108/$F$105*F101)</f>
        <v>-</v>
      </c>
    </row>
    <row r="102" spans="1:7" ht="27" customHeight="1" x14ac:dyDescent="0.4">
      <c r="A102" s="302" t="s">
        <v>68</v>
      </c>
      <c r="B102" s="303">
        <v>1</v>
      </c>
      <c r="C102" s="320" t="s">
        <v>69</v>
      </c>
      <c r="D102" s="397">
        <f>AVERAGE(D98:D101)</f>
        <v>4103414</v>
      </c>
      <c r="E102" s="322">
        <f>AVERAGE(E98:E101)</f>
        <v>4553282.904219822</v>
      </c>
      <c r="F102" s="321">
        <f>AVERAGE(F98:F101)</f>
        <v>4856849.666666667</v>
      </c>
      <c r="G102" s="323">
        <f>AVERAGE(G98:G101)</f>
        <v>4401926.4182732338</v>
      </c>
    </row>
    <row r="103" spans="1:7" ht="26.25" customHeight="1" x14ac:dyDescent="0.4">
      <c r="A103" s="302" t="s">
        <v>70</v>
      </c>
      <c r="B103" s="303">
        <v>1</v>
      </c>
      <c r="C103" s="324" t="s">
        <v>96</v>
      </c>
      <c r="D103" s="325">
        <v>18.100000000000001</v>
      </c>
      <c r="E103" s="326"/>
      <c r="F103" s="325">
        <v>22.16</v>
      </c>
      <c r="G103" s="278"/>
    </row>
    <row r="104" spans="1:7" ht="26.25" customHeight="1" x14ac:dyDescent="0.4">
      <c r="A104" s="302" t="s">
        <v>71</v>
      </c>
      <c r="B104" s="303">
        <v>1</v>
      </c>
      <c r="C104" s="327" t="s">
        <v>97</v>
      </c>
      <c r="D104" s="328">
        <f>D103*$B$34</f>
        <v>18.100000000000001</v>
      </c>
      <c r="E104" s="329"/>
      <c r="F104" s="328">
        <f>F103*$B$34</f>
        <v>22.16</v>
      </c>
      <c r="G104" s="278"/>
    </row>
    <row r="105" spans="1:7" ht="19.5" customHeight="1" x14ac:dyDescent="0.3">
      <c r="A105" s="302" t="s">
        <v>72</v>
      </c>
      <c r="B105" s="330">
        <f>(B104/B103)*(B102/B101)*(B100/B99)*(B98/B97)*B96</f>
        <v>1666.6666666666667</v>
      </c>
      <c r="C105" s="327" t="s">
        <v>73</v>
      </c>
      <c r="D105" s="331">
        <f>D104*$B$30/100</f>
        <v>18.023980000000002</v>
      </c>
      <c r="E105" s="332"/>
      <c r="F105" s="331">
        <f>F104*$B$30/100</f>
        <v>22.066927999999997</v>
      </c>
      <c r="G105" s="278"/>
    </row>
    <row r="106" spans="1:7" ht="19.5" customHeight="1" x14ac:dyDescent="0.3">
      <c r="A106" s="460" t="s">
        <v>74</v>
      </c>
      <c r="B106" s="461"/>
      <c r="C106" s="327" t="s">
        <v>75</v>
      </c>
      <c r="D106" s="328">
        <f>D105/$B$45</f>
        <v>3.6047960000000004E-3</v>
      </c>
      <c r="E106" s="332"/>
      <c r="F106" s="333">
        <f>F105/$B$45</f>
        <v>4.413385599999999E-3</v>
      </c>
      <c r="G106" s="278"/>
    </row>
    <row r="107" spans="1:7" ht="27" customHeight="1" x14ac:dyDescent="0.4">
      <c r="A107" s="462"/>
      <c r="B107" s="463"/>
      <c r="C107" s="334" t="s">
        <v>105</v>
      </c>
      <c r="D107" s="335">
        <v>4.0000000000000001E-3</v>
      </c>
      <c r="E107" s="278"/>
      <c r="F107" s="336"/>
      <c r="G107" s="278"/>
    </row>
    <row r="108" spans="1:7" ht="18.75" customHeight="1" x14ac:dyDescent="0.3">
      <c r="A108" s="278"/>
      <c r="B108" s="278"/>
      <c r="C108" s="337" t="s">
        <v>76</v>
      </c>
      <c r="D108" s="331">
        <f>D107*$B$45</f>
        <v>20</v>
      </c>
      <c r="E108" s="278"/>
      <c r="F108" s="336"/>
      <c r="G108" s="278"/>
    </row>
    <row r="109" spans="1:7" ht="19.5" customHeight="1" x14ac:dyDescent="0.3">
      <c r="A109" s="278"/>
      <c r="B109" s="278"/>
      <c r="C109" s="338" t="s">
        <v>77</v>
      </c>
      <c r="D109" s="339">
        <f>D108/B94</f>
        <v>20</v>
      </c>
      <c r="E109" s="278"/>
      <c r="F109" s="336"/>
      <c r="G109" s="278"/>
    </row>
    <row r="110" spans="1:7" ht="18.75" customHeight="1" x14ac:dyDescent="0.3">
      <c r="A110" s="278"/>
      <c r="B110" s="278"/>
      <c r="C110" s="300" t="s">
        <v>78</v>
      </c>
      <c r="D110" s="340">
        <f>AVERAGE(E98:E101,G98:G101)</f>
        <v>4477604.6612465288</v>
      </c>
      <c r="E110" s="278"/>
      <c r="F110" s="341"/>
      <c r="G110" s="278"/>
    </row>
    <row r="111" spans="1:7" ht="18.75" customHeight="1" x14ac:dyDescent="0.3">
      <c r="A111" s="278"/>
      <c r="B111" s="278"/>
      <c r="C111" s="302" t="s">
        <v>79</v>
      </c>
      <c r="D111" s="342">
        <f>STDEV(E98:E101,G98:G101)/D110</f>
        <v>1.852881595400472E-2</v>
      </c>
      <c r="E111" s="278"/>
      <c r="F111" s="341"/>
      <c r="G111" s="278"/>
    </row>
    <row r="112" spans="1:7" ht="19.5" customHeight="1" x14ac:dyDescent="0.3">
      <c r="A112" s="278"/>
      <c r="B112" s="278"/>
      <c r="C112" s="343" t="s">
        <v>20</v>
      </c>
      <c r="D112" s="344">
        <f>COUNT(E98:E101,G98:G101)</f>
        <v>6</v>
      </c>
      <c r="E112" s="278"/>
      <c r="F112" s="341"/>
      <c r="G112" s="278"/>
    </row>
    <row r="113" spans="1:7" ht="18.75" customHeight="1" x14ac:dyDescent="0.3">
      <c r="A113" s="278"/>
      <c r="B113" s="278"/>
      <c r="C113" s="278"/>
      <c r="D113" s="278"/>
      <c r="E113" s="278"/>
      <c r="F113" s="278"/>
      <c r="G113" s="278"/>
    </row>
    <row r="114" spans="1:7" ht="18.75" customHeight="1" x14ac:dyDescent="0.3">
      <c r="A114" s="279" t="s">
        <v>1</v>
      </c>
      <c r="B114" s="345" t="s">
        <v>80</v>
      </c>
      <c r="C114" s="278"/>
      <c r="D114" s="278"/>
      <c r="E114" s="278"/>
      <c r="F114" s="278"/>
      <c r="G114" s="278"/>
    </row>
    <row r="115" spans="1:7" ht="17.25" customHeight="1" x14ac:dyDescent="0.3">
      <c r="A115" s="349"/>
      <c r="B115" s="349"/>
      <c r="C115" s="349"/>
      <c r="D115" s="350"/>
      <c r="E115" s="350"/>
      <c r="F115" s="350"/>
      <c r="G115" s="350"/>
    </row>
    <row r="116" spans="1:7" ht="57.75" customHeight="1" x14ac:dyDescent="0.4">
      <c r="A116" s="300" t="s">
        <v>106</v>
      </c>
      <c r="B116" s="398">
        <v>25</v>
      </c>
      <c r="C116" s="351" t="s">
        <v>110</v>
      </c>
      <c r="D116" s="399" t="s">
        <v>111</v>
      </c>
      <c r="E116" s="353" t="s">
        <v>112</v>
      </c>
      <c r="F116" s="354" t="s">
        <v>113</v>
      </c>
      <c r="G116" s="355" t="s">
        <v>114</v>
      </c>
    </row>
    <row r="117" spans="1:7" ht="26.25" customHeight="1" x14ac:dyDescent="0.4">
      <c r="A117" s="302" t="s">
        <v>60</v>
      </c>
      <c r="B117" s="400">
        <v>1</v>
      </c>
      <c r="C117" s="401">
        <v>1</v>
      </c>
      <c r="D117" s="402">
        <v>3438055</v>
      </c>
      <c r="E117" s="358">
        <f t="shared" ref="E117:E136" si="3">IF(ISBLANK(D117),"-",D117/$D$110*$D$107*$B$125)</f>
        <v>7.6783353156570838E-2</v>
      </c>
      <c r="F117" s="359">
        <f t="shared" ref="F117:F136" si="4">IF(ISBLANK(D117),"-",E117/$E$138*100)</f>
        <v>98.005437390371895</v>
      </c>
      <c r="G117" s="360">
        <f t="shared" ref="G117:G136" si="5">IF(ISBLANK(D117),"-",E117/$B$56*100)</f>
        <v>76.783353156570826</v>
      </c>
    </row>
    <row r="118" spans="1:7" ht="26.25" customHeight="1" x14ac:dyDescent="0.4">
      <c r="A118" s="302" t="s">
        <v>64</v>
      </c>
      <c r="B118" s="400">
        <v>1</v>
      </c>
      <c r="C118" s="403">
        <v>2</v>
      </c>
      <c r="D118" s="404">
        <v>3829849</v>
      </c>
      <c r="E118" s="363">
        <f t="shared" si="3"/>
        <v>8.5533433381182009E-2</v>
      </c>
      <c r="F118" s="364">
        <f t="shared" si="4"/>
        <v>109.17394468211779</v>
      </c>
      <c r="G118" s="365">
        <f t="shared" si="5"/>
        <v>85.533433381181993</v>
      </c>
    </row>
    <row r="119" spans="1:7" ht="26.25" customHeight="1" x14ac:dyDescent="0.4">
      <c r="A119" s="302" t="s">
        <v>65</v>
      </c>
      <c r="B119" s="400">
        <v>1</v>
      </c>
      <c r="C119" s="403">
        <v>3</v>
      </c>
      <c r="D119" s="404">
        <v>3554499</v>
      </c>
      <c r="E119" s="363">
        <f t="shared" si="3"/>
        <v>7.9383940050894455E-2</v>
      </c>
      <c r="F119" s="364">
        <f t="shared" si="4"/>
        <v>101.32479823581635</v>
      </c>
      <c r="G119" s="365">
        <f t="shared" si="5"/>
        <v>79.383940050894452</v>
      </c>
    </row>
    <row r="120" spans="1:7" ht="26.25" customHeight="1" x14ac:dyDescent="0.4">
      <c r="A120" s="302" t="s">
        <v>66</v>
      </c>
      <c r="B120" s="400">
        <v>1</v>
      </c>
      <c r="C120" s="403">
        <v>4</v>
      </c>
      <c r="D120" s="404">
        <v>3553139</v>
      </c>
      <c r="E120" s="363">
        <f t="shared" si="3"/>
        <v>7.935356666818448E-2</v>
      </c>
      <c r="F120" s="364">
        <f t="shared" si="4"/>
        <v>101.2860299802617</v>
      </c>
      <c r="G120" s="365">
        <f t="shared" si="5"/>
        <v>79.35356666818447</v>
      </c>
    </row>
    <row r="121" spans="1:7" ht="26.25" customHeight="1" x14ac:dyDescent="0.4">
      <c r="A121" s="302" t="s">
        <v>67</v>
      </c>
      <c r="B121" s="400">
        <v>1</v>
      </c>
      <c r="C121" s="403">
        <v>5</v>
      </c>
      <c r="D121" s="404">
        <v>3845327</v>
      </c>
      <c r="E121" s="363">
        <f t="shared" si="3"/>
        <v>8.5879109276465068E-2</v>
      </c>
      <c r="F121" s="364">
        <f t="shared" si="4"/>
        <v>109.61516163761389</v>
      </c>
      <c r="G121" s="365">
        <f t="shared" si="5"/>
        <v>85.879109276465059</v>
      </c>
    </row>
    <row r="122" spans="1:7" ht="26.25" customHeight="1" x14ac:dyDescent="0.4">
      <c r="A122" s="302" t="s">
        <v>68</v>
      </c>
      <c r="B122" s="400">
        <v>1</v>
      </c>
      <c r="C122" s="403">
        <v>6</v>
      </c>
      <c r="D122" s="404">
        <v>3393409</v>
      </c>
      <c r="E122" s="363">
        <f t="shared" si="3"/>
        <v>7.5786257535637433E-2</v>
      </c>
      <c r="F122" s="364">
        <f t="shared" si="4"/>
        <v>96.732755377509832</v>
      </c>
      <c r="G122" s="365">
        <f t="shared" si="5"/>
        <v>75.786257535637418</v>
      </c>
    </row>
    <row r="123" spans="1:7" ht="26.25" customHeight="1" x14ac:dyDescent="0.4">
      <c r="A123" s="302" t="s">
        <v>70</v>
      </c>
      <c r="B123" s="400">
        <v>1</v>
      </c>
      <c r="C123" s="403">
        <v>7</v>
      </c>
      <c r="D123" s="404">
        <v>3383066</v>
      </c>
      <c r="E123" s="363">
        <f t="shared" si="3"/>
        <v>7.555526349345415E-2</v>
      </c>
      <c r="F123" s="364">
        <f t="shared" si="4"/>
        <v>96.437917092802735</v>
      </c>
      <c r="G123" s="365">
        <f t="shared" si="5"/>
        <v>75.555263493454149</v>
      </c>
    </row>
    <row r="124" spans="1:7" ht="26.25" customHeight="1" x14ac:dyDescent="0.4">
      <c r="A124" s="302" t="s">
        <v>71</v>
      </c>
      <c r="B124" s="400">
        <v>1</v>
      </c>
      <c r="C124" s="403">
        <v>8</v>
      </c>
      <c r="D124" s="404">
        <v>3847188</v>
      </c>
      <c r="E124" s="363">
        <f t="shared" si="3"/>
        <v>8.592067167736453E-2</v>
      </c>
      <c r="F124" s="364">
        <f t="shared" si="4"/>
        <v>109.66821143436918</v>
      </c>
      <c r="G124" s="365">
        <f t="shared" si="5"/>
        <v>85.920671677364524</v>
      </c>
    </row>
    <row r="125" spans="1:7" ht="27" customHeight="1" x14ac:dyDescent="0.4">
      <c r="A125" s="302" t="s">
        <v>72</v>
      </c>
      <c r="B125" s="405">
        <f>(B124/B123)*(B122/B121)*(B120/B119)*(B118/B117)*B116</f>
        <v>25</v>
      </c>
      <c r="C125" s="403">
        <v>9</v>
      </c>
      <c r="D125" s="404">
        <v>3509926</v>
      </c>
      <c r="E125" s="363">
        <f t="shared" si="3"/>
        <v>7.8388474765944724E-2</v>
      </c>
      <c r="F125" s="364">
        <f t="shared" si="4"/>
        <v>100.0541971660833</v>
      </c>
      <c r="G125" s="365">
        <f t="shared" si="5"/>
        <v>78.388474765944721</v>
      </c>
    </row>
    <row r="126" spans="1:7" ht="26.25" customHeight="1" x14ac:dyDescent="0.4">
      <c r="A126" s="460" t="s">
        <v>74</v>
      </c>
      <c r="B126" s="461"/>
      <c r="C126" s="403">
        <v>10</v>
      </c>
      <c r="D126" s="404">
        <v>3507385</v>
      </c>
      <c r="E126" s="363">
        <f t="shared" si="3"/>
        <v>7.8331725673690275E-2</v>
      </c>
      <c r="F126" s="364">
        <f t="shared" si="4"/>
        <v>99.981763241550681</v>
      </c>
      <c r="G126" s="365">
        <f t="shared" si="5"/>
        <v>78.331725673690272</v>
      </c>
    </row>
    <row r="127" spans="1:7" ht="27" customHeight="1" x14ac:dyDescent="0.4">
      <c r="A127" s="462"/>
      <c r="B127" s="463"/>
      <c r="C127" s="403">
        <v>11</v>
      </c>
      <c r="D127" s="404">
        <v>3155595</v>
      </c>
      <c r="E127" s="363">
        <f t="shared" si="3"/>
        <v>7.0475069568145116E-2</v>
      </c>
      <c r="F127" s="364">
        <f t="shared" si="4"/>
        <v>89.953612784516409</v>
      </c>
      <c r="G127" s="365">
        <f t="shared" si="5"/>
        <v>70.475069568145116</v>
      </c>
    </row>
    <row r="128" spans="1:7" ht="26.25" customHeight="1" x14ac:dyDescent="0.4">
      <c r="A128" s="406"/>
      <c r="B128" s="296"/>
      <c r="C128" s="403">
        <v>12</v>
      </c>
      <c r="D128" s="404">
        <v>3387870</v>
      </c>
      <c r="E128" s="363">
        <f t="shared" si="3"/>
        <v>7.5662553001203198E-2</v>
      </c>
      <c r="F128" s="364">
        <f t="shared" si="4"/>
        <v>96.574860254335448</v>
      </c>
      <c r="G128" s="365">
        <f t="shared" si="5"/>
        <v>75.662553001203193</v>
      </c>
    </row>
    <row r="129" spans="1:7" ht="26.25" customHeight="1" x14ac:dyDescent="0.4">
      <c r="A129" s="406"/>
      <c r="B129" s="296"/>
      <c r="C129" s="403">
        <v>13</v>
      </c>
      <c r="D129" s="404">
        <v>3456563</v>
      </c>
      <c r="E129" s="363">
        <f t="shared" si="3"/>
        <v>7.719669916186217E-2</v>
      </c>
      <c r="F129" s="364">
        <f t="shared" si="4"/>
        <v>98.53302773875815</v>
      </c>
      <c r="G129" s="365">
        <f t="shared" si="5"/>
        <v>77.196699161862171</v>
      </c>
    </row>
    <row r="130" spans="1:7" ht="26.25" customHeight="1" x14ac:dyDescent="0.4">
      <c r="A130" s="406"/>
      <c r="B130" s="296"/>
      <c r="C130" s="403">
        <v>14</v>
      </c>
      <c r="D130" s="404">
        <v>3544585</v>
      </c>
      <c r="E130" s="363">
        <f t="shared" si="3"/>
        <v>7.9162527024286597E-2</v>
      </c>
      <c r="F130" s="364">
        <f t="shared" si="4"/>
        <v>101.04218905525111</v>
      </c>
      <c r="G130" s="365">
        <f t="shared" si="5"/>
        <v>79.162527024286589</v>
      </c>
    </row>
    <row r="131" spans="1:7" ht="26.25" customHeight="1" x14ac:dyDescent="0.4">
      <c r="A131" s="406"/>
      <c r="B131" s="296"/>
      <c r="C131" s="403">
        <v>15</v>
      </c>
      <c r="D131" s="404">
        <v>3510247</v>
      </c>
      <c r="E131" s="363">
        <f t="shared" si="3"/>
        <v>7.8395643777599069E-2</v>
      </c>
      <c r="F131" s="364">
        <f t="shared" si="4"/>
        <v>100.063347614637</v>
      </c>
      <c r="G131" s="365">
        <f t="shared" si="5"/>
        <v>78.395643777599062</v>
      </c>
    </row>
    <row r="132" spans="1:7" ht="26.25" customHeight="1" x14ac:dyDescent="0.4">
      <c r="A132" s="406"/>
      <c r="B132" s="296"/>
      <c r="C132" s="403">
        <v>16</v>
      </c>
      <c r="D132" s="404">
        <v>3555449</v>
      </c>
      <c r="E132" s="363">
        <f t="shared" si="3"/>
        <v>7.9405156752052147E-2</v>
      </c>
      <c r="F132" s="364">
        <f t="shared" si="4"/>
        <v>101.35187900256406</v>
      </c>
      <c r="G132" s="365">
        <f t="shared" si="5"/>
        <v>79.405156752052136</v>
      </c>
    </row>
    <row r="133" spans="1:7" ht="26.25" customHeight="1" x14ac:dyDescent="0.4">
      <c r="A133" s="406"/>
      <c r="B133" s="296"/>
      <c r="C133" s="403">
        <v>17</v>
      </c>
      <c r="D133" s="404">
        <v>3421141</v>
      </c>
      <c r="E133" s="363">
        <f t="shared" si="3"/>
        <v>7.6405606542485197E-2</v>
      </c>
      <c r="F133" s="364">
        <f t="shared" si="4"/>
        <v>97.523285717981338</v>
      </c>
      <c r="G133" s="365">
        <f t="shared" si="5"/>
        <v>76.405606542485188</v>
      </c>
    </row>
    <row r="134" spans="1:7" ht="26.25" customHeight="1" x14ac:dyDescent="0.4">
      <c r="A134" s="406"/>
      <c r="B134" s="296"/>
      <c r="C134" s="403">
        <v>18</v>
      </c>
      <c r="D134" s="404">
        <v>3342788</v>
      </c>
      <c r="E134" s="363">
        <f t="shared" si="3"/>
        <v>7.4655720031106876E-2</v>
      </c>
      <c r="F134" s="364">
        <f t="shared" si="4"/>
        <v>95.289749594839677</v>
      </c>
      <c r="G134" s="365">
        <f t="shared" si="5"/>
        <v>74.655720031106881</v>
      </c>
    </row>
    <row r="135" spans="1:7" ht="26.25" customHeight="1" x14ac:dyDescent="0.4">
      <c r="A135" s="406"/>
      <c r="B135" s="296"/>
      <c r="C135" s="403">
        <v>19</v>
      </c>
      <c r="D135" s="404">
        <v>3548994</v>
      </c>
      <c r="E135" s="363">
        <f t="shared" si="3"/>
        <v>7.9260994851027972E-2</v>
      </c>
      <c r="F135" s="364">
        <f t="shared" si="4"/>
        <v>101.16787231903082</v>
      </c>
      <c r="G135" s="365">
        <f t="shared" si="5"/>
        <v>79.260994851027959</v>
      </c>
    </row>
    <row r="136" spans="1:7" ht="26.25" customHeight="1" x14ac:dyDescent="0.4">
      <c r="A136" s="406"/>
      <c r="B136" s="296"/>
      <c r="C136" s="407">
        <v>20</v>
      </c>
      <c r="D136" s="408">
        <v>3375420</v>
      </c>
      <c r="E136" s="409">
        <f t="shared" si="3"/>
        <v>7.5384502549189117E-2</v>
      </c>
      <c r="F136" s="410">
        <f t="shared" si="4"/>
        <v>96.219959679588939</v>
      </c>
      <c r="G136" s="411">
        <f t="shared" si="5"/>
        <v>75.384502549189108</v>
      </c>
    </row>
    <row r="137" spans="1:7" ht="19.5" customHeight="1" x14ac:dyDescent="0.3">
      <c r="A137" s="296"/>
      <c r="B137" s="296"/>
      <c r="C137" s="361"/>
      <c r="D137" s="332"/>
      <c r="E137" s="371"/>
      <c r="F137" s="412"/>
      <c r="G137" s="413"/>
    </row>
    <row r="138" spans="1:7" ht="26.25" customHeight="1" x14ac:dyDescent="0.4">
      <c r="A138" s="350"/>
      <c r="B138" s="350"/>
      <c r="C138" s="373" t="s">
        <v>115</v>
      </c>
      <c r="D138" s="374"/>
      <c r="E138" s="414">
        <f>AVERAGE(E117:E136)</f>
        <v>7.8346013446917259E-2</v>
      </c>
      <c r="F138" s="415">
        <f>AVERAGE(F117:F136)</f>
        <v>100.00000000000001</v>
      </c>
      <c r="G138" s="416">
        <f>AVERAGE(G117:G136)</f>
        <v>78.346013446917283</v>
      </c>
    </row>
    <row r="139" spans="1:7" ht="26.25" customHeight="1" x14ac:dyDescent="0.4">
      <c r="A139" s="350"/>
      <c r="B139" s="350"/>
      <c r="C139" s="373"/>
      <c r="D139" s="374"/>
      <c r="E139" s="417">
        <f>STDEV(E117:E136)/E138</f>
        <v>4.9340128804931264E-2</v>
      </c>
      <c r="F139" s="378">
        <f>STDEV(F117:F136)/F138</f>
        <v>4.9340128804931285E-2</v>
      </c>
      <c r="G139" s="379">
        <f>STDEV(G117:G136)/G138</f>
        <v>4.9340128804931223E-2</v>
      </c>
    </row>
    <row r="140" spans="1:7" ht="27" customHeight="1" x14ac:dyDescent="0.4">
      <c r="A140" s="350"/>
      <c r="B140" s="350"/>
      <c r="C140" s="380"/>
      <c r="D140" s="381"/>
      <c r="E140" s="418">
        <f>COUNT(E117:E136)</f>
        <v>20</v>
      </c>
      <c r="F140" s="382">
        <f>COUNT(F117:F126)</f>
        <v>10</v>
      </c>
      <c r="G140" s="383">
        <f>COUNT(G117:G136)</f>
        <v>20</v>
      </c>
    </row>
    <row r="141" spans="1:7" ht="18.75" customHeight="1" x14ac:dyDescent="0.3">
      <c r="A141" s="350"/>
      <c r="B141" s="384"/>
      <c r="C141" s="384"/>
      <c r="D141" s="329"/>
      <c r="E141" s="374"/>
      <c r="F141" s="326"/>
      <c r="G141" s="385"/>
    </row>
    <row r="142" spans="1:7" ht="18.75" customHeight="1" x14ac:dyDescent="0.3">
      <c r="A142" s="288" t="s">
        <v>107</v>
      </c>
      <c r="B142" s="386" t="s">
        <v>92</v>
      </c>
      <c r="C142" s="464" t="str">
        <f>B20</f>
        <v>Levothyroxine Sodium</v>
      </c>
      <c r="D142" s="464"/>
      <c r="E142" s="387" t="s">
        <v>93</v>
      </c>
      <c r="F142" s="387"/>
      <c r="G142" s="388">
        <f>G138</f>
        <v>78.346013446917283</v>
      </c>
    </row>
    <row r="143" spans="1:7" ht="18.75" customHeight="1" x14ac:dyDescent="0.3">
      <c r="A143" s="288"/>
      <c r="B143" s="386"/>
      <c r="C143" s="389"/>
      <c r="D143" s="389"/>
      <c r="E143" s="387"/>
      <c r="F143" s="387"/>
      <c r="G143" s="390"/>
    </row>
    <row r="144" spans="1:7" ht="18.75" customHeight="1" x14ac:dyDescent="0.3">
      <c r="A144" s="279" t="s">
        <v>1</v>
      </c>
      <c r="B144" s="391" t="s">
        <v>116</v>
      </c>
      <c r="C144" s="278"/>
      <c r="D144" s="278"/>
      <c r="E144" s="278"/>
      <c r="F144" s="278"/>
      <c r="G144" s="350"/>
    </row>
    <row r="145" spans="1:7" ht="19.5" customHeight="1" x14ac:dyDescent="0.3">
      <c r="A145" s="279"/>
      <c r="B145" s="345"/>
      <c r="C145" s="278"/>
      <c r="D145" s="278"/>
      <c r="E145" s="278"/>
      <c r="F145" s="278"/>
      <c r="G145" s="350"/>
    </row>
    <row r="146" spans="1:7" ht="18.75" customHeight="1" x14ac:dyDescent="0.3">
      <c r="A146" s="350"/>
      <c r="B146" s="458" t="s">
        <v>117</v>
      </c>
      <c r="C146" s="459"/>
      <c r="D146" s="278"/>
      <c r="E146" s="350"/>
      <c r="F146" s="350"/>
      <c r="G146" s="350"/>
    </row>
    <row r="147" spans="1:7" ht="18.75" customHeight="1" x14ac:dyDescent="0.3">
      <c r="A147" s="350"/>
      <c r="B147" s="419" t="s">
        <v>43</v>
      </c>
      <c r="C147" s="420">
        <f>AVERAGE(G59:G68,G117:G136)</f>
        <v>82.743686884742388</v>
      </c>
      <c r="D147" s="278"/>
      <c r="E147" s="350"/>
      <c r="F147" s="350"/>
      <c r="G147" s="350"/>
    </row>
    <row r="148" spans="1:7" ht="26.25" customHeight="1" x14ac:dyDescent="0.4">
      <c r="A148" s="350"/>
      <c r="B148" s="419" t="s">
        <v>118</v>
      </c>
      <c r="C148" s="421">
        <v>2</v>
      </c>
      <c r="D148" s="278"/>
      <c r="E148" s="350"/>
      <c r="F148" s="350"/>
      <c r="G148" s="350"/>
    </row>
    <row r="149" spans="1:7" ht="18.75" customHeight="1" x14ac:dyDescent="0.3">
      <c r="A149" s="350"/>
      <c r="B149" s="419" t="s">
        <v>119</v>
      </c>
      <c r="C149" s="420">
        <f>STDEV(G59:G68,G117:G136)</f>
        <v>7.6654622928596696</v>
      </c>
      <c r="D149" s="278"/>
      <c r="E149" s="350"/>
      <c r="F149" s="350"/>
      <c r="G149" s="350"/>
    </row>
    <row r="150" spans="1:7" ht="19.5" customHeight="1" x14ac:dyDescent="0.3">
      <c r="A150" s="350"/>
      <c r="B150" s="422" t="s">
        <v>120</v>
      </c>
      <c r="C150" s="423">
        <f>IF(OR(G138&lt;98.5,G138&gt;101.5),(IF(98.5&gt;G138,98.5,101.5)),C147)</f>
        <v>98.5</v>
      </c>
      <c r="D150" s="278"/>
      <c r="E150" s="350"/>
      <c r="F150" s="350"/>
      <c r="G150" s="350"/>
    </row>
    <row r="151" spans="1:7" ht="18.75" customHeight="1" x14ac:dyDescent="0.3">
      <c r="A151" s="350"/>
      <c r="B151" s="424" t="s">
        <v>124</v>
      </c>
      <c r="C151" s="425">
        <f>ABS(C150-C147)+(C148*C149)</f>
        <v>31.087237700976949</v>
      </c>
      <c r="D151" s="278"/>
      <c r="E151" s="350"/>
      <c r="F151" s="350"/>
      <c r="G151" s="350"/>
    </row>
    <row r="152" spans="1:7" ht="18.75" customHeight="1" x14ac:dyDescent="0.3">
      <c r="A152" s="350"/>
      <c r="B152" s="419" t="s">
        <v>125</v>
      </c>
      <c r="C152" s="426">
        <f>(1-(0.01)*(25))*C150</f>
        <v>73.875</v>
      </c>
      <c r="D152" s="278"/>
      <c r="E152" s="350"/>
      <c r="F152" s="350"/>
      <c r="G152" s="350"/>
    </row>
    <row r="153" spans="1:7" ht="19.5" customHeight="1" x14ac:dyDescent="0.3">
      <c r="A153" s="350"/>
      <c r="B153" s="427" t="s">
        <v>126</v>
      </c>
      <c r="C153" s="428">
        <f>(1+(0.01)*(25))*C150</f>
        <v>123.125</v>
      </c>
      <c r="D153" s="278"/>
      <c r="E153" s="350"/>
      <c r="F153" s="350"/>
      <c r="G153" s="350"/>
    </row>
    <row r="154" spans="1:7" ht="18.75" customHeight="1" x14ac:dyDescent="0.3">
      <c r="A154" s="350"/>
      <c r="B154" s="338"/>
      <c r="C154" s="429"/>
      <c r="D154" s="278"/>
      <c r="E154" s="350"/>
      <c r="F154" s="350"/>
      <c r="G154" s="350"/>
    </row>
    <row r="155" spans="1:7" ht="18.75" customHeight="1" x14ac:dyDescent="0.3">
      <c r="A155" s="347"/>
      <c r="B155" s="396"/>
      <c r="C155" s="278"/>
      <c r="D155" s="278"/>
      <c r="E155" s="278"/>
      <c r="F155" s="278"/>
      <c r="G155" s="278"/>
    </row>
    <row r="156" spans="1:7" ht="19.5" customHeight="1" x14ac:dyDescent="0.3">
      <c r="A156" s="430"/>
      <c r="B156" s="430"/>
      <c r="C156" s="431"/>
      <c r="D156" s="431"/>
      <c r="E156" s="431"/>
      <c r="F156" s="431"/>
      <c r="G156" s="431"/>
    </row>
    <row r="157" spans="1:7" ht="18.75" customHeight="1" x14ac:dyDescent="0.3">
      <c r="A157" s="278"/>
      <c r="B157" s="455" t="s">
        <v>26</v>
      </c>
      <c r="C157" s="455"/>
      <c r="D157" s="278"/>
      <c r="E157" s="432" t="s">
        <v>27</v>
      </c>
      <c r="F157" s="433"/>
      <c r="G157" s="439" t="s">
        <v>28</v>
      </c>
    </row>
    <row r="158" spans="1:7" ht="60" customHeight="1" x14ac:dyDescent="0.3">
      <c r="A158" s="434" t="s">
        <v>29</v>
      </c>
      <c r="B158" s="435"/>
      <c r="C158" s="435"/>
      <c r="D158" s="278"/>
      <c r="E158" s="435"/>
      <c r="F158" s="384"/>
      <c r="G158" s="436"/>
    </row>
    <row r="159" spans="1:7" ht="60" customHeight="1" x14ac:dyDescent="0.3">
      <c r="A159" s="434" t="s">
        <v>30</v>
      </c>
      <c r="B159" s="437"/>
      <c r="C159" s="437"/>
      <c r="D159" s="278"/>
      <c r="E159" s="437"/>
      <c r="F159" s="384"/>
      <c r="G159" s="438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8">
    <mergeCell ref="A46:B47"/>
    <mergeCell ref="A16:G16"/>
    <mergeCell ref="B18:C18"/>
    <mergeCell ref="B20:C20"/>
    <mergeCell ref="B26:C26"/>
    <mergeCell ref="B27:C27"/>
    <mergeCell ref="C89:G89"/>
    <mergeCell ref="C29:G29"/>
    <mergeCell ref="C31:G31"/>
    <mergeCell ref="C32:G32"/>
    <mergeCell ref="D36:E36"/>
    <mergeCell ref="F36:G36"/>
    <mergeCell ref="A1:G7"/>
    <mergeCell ref="A8:G14"/>
    <mergeCell ref="C142:D142"/>
    <mergeCell ref="B146:C146"/>
    <mergeCell ref="B157:C157"/>
    <mergeCell ref="C91:G91"/>
    <mergeCell ref="C92:G92"/>
    <mergeCell ref="D96:E96"/>
    <mergeCell ref="F96:G96"/>
    <mergeCell ref="A106:B107"/>
    <mergeCell ref="A126:B127"/>
    <mergeCell ref="A68:B69"/>
    <mergeCell ref="C74:D74"/>
    <mergeCell ref="B78:C78"/>
    <mergeCell ref="B86:C86"/>
    <mergeCell ref="B87:C87"/>
  </mergeCells>
  <conditionalFormatting sqref="G117">
    <cfRule type="cellIs" dxfId="29" priority="1" operator="notBetween">
      <formula>$C$152</formula>
      <formula>$C$153</formula>
    </cfRule>
  </conditionalFormatting>
  <conditionalFormatting sqref="G118">
    <cfRule type="cellIs" dxfId="28" priority="2" operator="notBetween">
      <formula>$C$152</formula>
      <formula>$C$153</formula>
    </cfRule>
  </conditionalFormatting>
  <conditionalFormatting sqref="G119">
    <cfRule type="cellIs" dxfId="27" priority="3" operator="notBetween">
      <formula>$C$152</formula>
      <formula>$C$153</formula>
    </cfRule>
  </conditionalFormatting>
  <conditionalFormatting sqref="G120">
    <cfRule type="cellIs" dxfId="26" priority="4" operator="notBetween">
      <formula>$C$152</formula>
      <formula>$C$153</formula>
    </cfRule>
  </conditionalFormatting>
  <conditionalFormatting sqref="G121">
    <cfRule type="cellIs" dxfId="25" priority="5" operator="notBetween">
      <formula>$C$152</formula>
      <formula>$C$153</formula>
    </cfRule>
  </conditionalFormatting>
  <conditionalFormatting sqref="G122">
    <cfRule type="cellIs" dxfId="24" priority="6" operator="notBetween">
      <formula>$C$152</formula>
      <formula>$C$153</formula>
    </cfRule>
  </conditionalFormatting>
  <conditionalFormatting sqref="G123">
    <cfRule type="cellIs" dxfId="23" priority="7" operator="notBetween">
      <formula>$C$152</formula>
      <formula>$C$153</formula>
    </cfRule>
  </conditionalFormatting>
  <conditionalFormatting sqref="G124">
    <cfRule type="cellIs" dxfId="22" priority="8" operator="notBetween">
      <formula>$C$152</formula>
      <formula>$C$153</formula>
    </cfRule>
  </conditionalFormatting>
  <conditionalFormatting sqref="G125">
    <cfRule type="cellIs" dxfId="21" priority="9" operator="notBetween">
      <formula>$C$152</formula>
      <formula>$C$153</formula>
    </cfRule>
  </conditionalFormatting>
  <conditionalFormatting sqref="G126">
    <cfRule type="cellIs" dxfId="20" priority="10" operator="notBetween">
      <formula>$C$152</formula>
      <formula>$C$153</formula>
    </cfRule>
  </conditionalFormatting>
  <conditionalFormatting sqref="G127">
    <cfRule type="cellIs" dxfId="19" priority="11" operator="notBetween">
      <formula>$C$152</formula>
      <formula>$C$153</formula>
    </cfRule>
  </conditionalFormatting>
  <conditionalFormatting sqref="G128">
    <cfRule type="cellIs" dxfId="18" priority="12" operator="notBetween">
      <formula>$C$152</formula>
      <formula>$C$153</formula>
    </cfRule>
  </conditionalFormatting>
  <conditionalFormatting sqref="G129">
    <cfRule type="cellIs" dxfId="17" priority="13" operator="notBetween">
      <formula>$C$152</formula>
      <formula>$C$153</formula>
    </cfRule>
  </conditionalFormatting>
  <conditionalFormatting sqref="G130">
    <cfRule type="cellIs" dxfId="16" priority="14" operator="notBetween">
      <formula>$C$152</formula>
      <formula>$C$153</formula>
    </cfRule>
  </conditionalFormatting>
  <conditionalFormatting sqref="G131">
    <cfRule type="cellIs" dxfId="15" priority="15" operator="notBetween">
      <formula>$C$152</formula>
      <formula>$C$153</formula>
    </cfRule>
  </conditionalFormatting>
  <conditionalFormatting sqref="G132">
    <cfRule type="cellIs" dxfId="14" priority="16" operator="notBetween">
      <formula>$C$152</formula>
      <formula>$C$153</formula>
    </cfRule>
  </conditionalFormatting>
  <conditionalFormatting sqref="G133">
    <cfRule type="cellIs" dxfId="13" priority="17" operator="notBetween">
      <formula>$C$152</formula>
      <formula>$C$153</formula>
    </cfRule>
  </conditionalFormatting>
  <conditionalFormatting sqref="G134">
    <cfRule type="cellIs" dxfId="12" priority="18" operator="notBetween">
      <formula>$C$152</formula>
      <formula>$C$153</formula>
    </cfRule>
  </conditionalFormatting>
  <conditionalFormatting sqref="G135">
    <cfRule type="cellIs" dxfId="11" priority="19" operator="notBetween">
      <formula>$C$152</formula>
      <formula>$C$153</formula>
    </cfRule>
  </conditionalFormatting>
  <conditionalFormatting sqref="G136">
    <cfRule type="cellIs" dxfId="10" priority="20" operator="notBetween">
      <formula>$C$152</formula>
      <formula>$C$153</formula>
    </cfRule>
  </conditionalFormatting>
  <conditionalFormatting sqref="G59">
    <cfRule type="cellIs" dxfId="9" priority="21" operator="notBetween">
      <formula>$C$152</formula>
      <formula>$C$153</formula>
    </cfRule>
  </conditionalFormatting>
  <conditionalFormatting sqref="G60">
    <cfRule type="cellIs" dxfId="8" priority="22" operator="notBetween">
      <formula>$C$152</formula>
      <formula>$C$153</formula>
    </cfRule>
  </conditionalFormatting>
  <conditionalFormatting sqref="G61">
    <cfRule type="cellIs" dxfId="7" priority="23" operator="notBetween">
      <formula>$C$152</formula>
      <formula>$C$153</formula>
    </cfRule>
  </conditionalFormatting>
  <conditionalFormatting sqref="G62">
    <cfRule type="cellIs" dxfId="6" priority="24" operator="notBetween">
      <formula>$C$152</formula>
      <formula>$C$153</formula>
    </cfRule>
  </conditionalFormatting>
  <conditionalFormatting sqref="G63">
    <cfRule type="cellIs" dxfId="5" priority="25" operator="notBetween">
      <formula>$C$152</formula>
      <formula>$C$153</formula>
    </cfRule>
  </conditionalFormatting>
  <conditionalFormatting sqref="G64">
    <cfRule type="cellIs" dxfId="4" priority="26" operator="notBetween">
      <formula>$C$152</formula>
      <formula>$C$153</formula>
    </cfRule>
  </conditionalFormatting>
  <conditionalFormatting sqref="G65">
    <cfRule type="cellIs" dxfId="3" priority="27" operator="notBetween">
      <formula>$C$152</formula>
      <formula>$C$153</formula>
    </cfRule>
  </conditionalFormatting>
  <conditionalFormatting sqref="G66">
    <cfRule type="cellIs" dxfId="2" priority="28" operator="notBetween">
      <formula>$C$152</formula>
      <formula>$C$153</formula>
    </cfRule>
  </conditionalFormatting>
  <conditionalFormatting sqref="G67">
    <cfRule type="cellIs" dxfId="1" priority="29" operator="notBetween">
      <formula>$C$152</formula>
      <formula>$C$153</formula>
    </cfRule>
  </conditionalFormatting>
  <conditionalFormatting sqref="G68">
    <cfRule type="cellIs" dxfId="0" priority="30" operator="notBetween">
      <formula>$C$152</formula>
      <formula>$C$153</formula>
    </cfRule>
  </conditionalFormatting>
  <pageMargins left="0.7" right="0.7" top="0.75" bottom="0.75" header="0.3" footer="0.3"/>
  <pageSetup scale="19" orientation="portrait" r:id="rId1"/>
  <headerFooter>
    <oddHeader>&amp;LVer 2</oddHeader>
    <oddFooter>&amp;LNQCL/ADDO/014&amp;CPage &amp;P of &amp;N&amp;R&amp;D &amp;T</oddFooter>
  </headerFooter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SST(S2)</vt:lpstr>
      <vt:lpstr>Uniformity</vt:lpstr>
      <vt:lpstr>Levothyroxine Sodium(S1)</vt:lpstr>
      <vt:lpstr>SST (S2)</vt:lpstr>
      <vt:lpstr>Levothyroxine Sodium (S2)</vt:lpstr>
      <vt:lpstr>'Levothyroxine Sodium (S2)'!Print_Area</vt:lpstr>
      <vt:lpstr>'Levothyroxine Sodium(S1)'!Print_Area</vt:lpstr>
      <vt:lpstr>'SST (S2)'!Print_Area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2016-06-08T12:30:36Z</cp:lastPrinted>
  <dcterms:created xsi:type="dcterms:W3CDTF">2005-07-05T10:19:27Z</dcterms:created>
  <dcterms:modified xsi:type="dcterms:W3CDTF">2016-06-08T12:35:04Z</dcterms:modified>
</cp:coreProperties>
</file>