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390" yWindow="540" windowWidth="10215" windowHeight="8640" firstSheet="1" activeTab="2"/>
  </bookViews>
  <sheets>
    <sheet name="Uniformity" sheetId="2" r:id="rId1"/>
    <sheet name="Glimepriride SST" sheetId="5" r:id="rId2"/>
    <sheet name="Metformin HCl SST " sheetId="6" r:id="rId3"/>
    <sheet name="Glimepriride" sheetId="3" r:id="rId4"/>
    <sheet name="Glimepriride (Diss 2)" sheetId="7" r:id="rId5"/>
    <sheet name="Metformin HCl" sheetId="4" r:id="rId6"/>
  </sheets>
  <definedNames>
    <definedName name="_xlnm.Print_Area" localSheetId="3">Glimepriride!$A$1:$I$125</definedName>
    <definedName name="_xlnm.Print_Area" localSheetId="4">'Glimepriride (Diss 2)'!$A$77:$I$125</definedName>
    <definedName name="_xlnm.Print_Area" localSheetId="1">'Glimepriride SST'!$A$1:$E$82</definedName>
    <definedName name="_xlnm.Print_Area" localSheetId="5">'Metformin HCl'!$A$1:$H$125</definedName>
    <definedName name="_xlnm.Print_Area" localSheetId="2">'Metformin HCl SST '!$A$1:$E$61</definedName>
    <definedName name="_xlnm.Print_Area" localSheetId="0">Uniformity!$A$1:$F$54</definedName>
  </definedNames>
  <calcPr calcId="162913" calcMode="manual"/>
</workbook>
</file>

<file path=xl/calcChain.xml><?xml version="1.0" encoding="utf-8"?>
<calcChain xmlns="http://schemas.openxmlformats.org/spreadsheetml/2006/main">
  <c r="G91" i="4" l="1"/>
  <c r="D95" i="4"/>
  <c r="E93" i="4"/>
  <c r="E92" i="4"/>
  <c r="E91" i="4"/>
  <c r="E95" i="4" s="1"/>
  <c r="B53" i="6"/>
  <c r="C51" i="6"/>
  <c r="E51" i="6"/>
  <c r="D51" i="6"/>
  <c r="B51" i="6"/>
  <c r="B52" i="6" s="1"/>
  <c r="B41" i="6"/>
  <c r="B42" i="6" s="1"/>
  <c r="B40" i="6"/>
  <c r="B39" i="6"/>
  <c r="B20" i="6"/>
  <c r="B21" i="6" s="1"/>
  <c r="B19" i="6"/>
  <c r="B18" i="6"/>
  <c r="B79" i="4"/>
  <c r="D95" i="7"/>
  <c r="B74" i="5"/>
  <c r="B72" i="5"/>
  <c r="B73" i="5" s="1"/>
  <c r="B41" i="5" l="1"/>
  <c r="B62" i="5"/>
  <c r="E72" i="5"/>
  <c r="D72" i="5"/>
  <c r="C72" i="5"/>
  <c r="B61" i="5"/>
  <c r="H70" i="3"/>
  <c r="G70" i="3"/>
  <c r="H69" i="3"/>
  <c r="G68" i="3"/>
  <c r="H64" i="3"/>
  <c r="G64" i="3"/>
  <c r="G61" i="3"/>
  <c r="H61" i="3" s="1"/>
  <c r="H60" i="3"/>
  <c r="G60" i="3"/>
  <c r="D100" i="3"/>
  <c r="D97" i="3"/>
  <c r="D98" i="3" s="1"/>
  <c r="F97" i="3"/>
  <c r="F98" i="3" s="1"/>
  <c r="F95" i="3"/>
  <c r="D95" i="3"/>
  <c r="D100" i="7"/>
  <c r="D101" i="7" s="1"/>
  <c r="D97" i="7"/>
  <c r="F95" i="7"/>
  <c r="C120" i="7"/>
  <c r="B116" i="7"/>
  <c r="B98" i="7"/>
  <c r="B63" i="5" s="1"/>
  <c r="I92" i="7"/>
  <c r="B87" i="7"/>
  <c r="F97" i="7" s="1"/>
  <c r="B81" i="7"/>
  <c r="B83" i="7" s="1"/>
  <c r="B80" i="7"/>
  <c r="B79" i="7"/>
  <c r="C76" i="7"/>
  <c r="B68" i="7"/>
  <c r="H62" i="7"/>
  <c r="G62" i="7"/>
  <c r="B57" i="7"/>
  <c r="C56" i="7"/>
  <c r="B55" i="7"/>
  <c r="D47" i="7"/>
  <c r="D48" i="7" s="1"/>
  <c r="B45" i="7"/>
  <c r="F42" i="7"/>
  <c r="D42" i="7"/>
  <c r="I39" i="7" s="1"/>
  <c r="B34" i="7"/>
  <c r="D44" i="7" s="1"/>
  <c r="D45" i="7" s="1"/>
  <c r="D46" i="7" s="1"/>
  <c r="B30" i="7"/>
  <c r="E40" i="7" l="1"/>
  <c r="G38" i="7"/>
  <c r="G40" i="7"/>
  <c r="D49" i="7"/>
  <c r="E38" i="7"/>
  <c r="E39" i="7"/>
  <c r="D98" i="7"/>
  <c r="D99" i="7" s="1"/>
  <c r="G92" i="7"/>
  <c r="E92" i="7"/>
  <c r="E93" i="7"/>
  <c r="D102" i="7"/>
  <c r="B69" i="7"/>
  <c r="F44" i="7"/>
  <c r="F45" i="7" s="1"/>
  <c r="F46" i="7" s="1"/>
  <c r="F98" i="7"/>
  <c r="F99" i="7" s="1"/>
  <c r="G91" i="7" l="1"/>
  <c r="G95" i="7" s="1"/>
  <c r="G93" i="7"/>
  <c r="E91" i="7"/>
  <c r="G39" i="7"/>
  <c r="D50" i="7" s="1"/>
  <c r="D52" i="7"/>
  <c r="E42" i="7"/>
  <c r="G42" i="7"/>
  <c r="G70" i="7" l="1"/>
  <c r="H70" i="7" s="1"/>
  <c r="G66" i="7"/>
  <c r="H66" i="7" s="1"/>
  <c r="G64" i="7"/>
  <c r="H64" i="7" s="1"/>
  <c r="G61" i="7"/>
  <c r="H61" i="7" s="1"/>
  <c r="G69" i="7"/>
  <c r="H69" i="7" s="1"/>
  <c r="G65" i="7"/>
  <c r="H65" i="7" s="1"/>
  <c r="D51" i="7"/>
  <c r="G68" i="7"/>
  <c r="H68" i="7" s="1"/>
  <c r="G60" i="7"/>
  <c r="H60" i="7" s="1"/>
  <c r="D105" i="7"/>
  <c r="E95" i="7"/>
  <c r="D103" i="7"/>
  <c r="H74" i="7" l="1"/>
  <c r="H72" i="7"/>
  <c r="E113" i="7"/>
  <c r="F113" i="7" s="1"/>
  <c r="E109" i="7"/>
  <c r="F109" i="7" s="1"/>
  <c r="E112" i="7"/>
  <c r="F112" i="7" s="1"/>
  <c r="E110" i="7"/>
  <c r="F110" i="7" s="1"/>
  <c r="E108" i="7"/>
  <c r="F108" i="7" s="1"/>
  <c r="E111" i="7"/>
  <c r="F111" i="7" s="1"/>
  <c r="D104" i="7"/>
  <c r="F115" i="7" l="1"/>
  <c r="F117" i="7"/>
  <c r="H73" i="7"/>
  <c r="G76" i="7"/>
  <c r="F116" i="7" l="1"/>
  <c r="G120" i="7"/>
  <c r="B52" i="5" l="1"/>
  <c r="E51" i="5"/>
  <c r="D51" i="5"/>
  <c r="C51" i="5"/>
  <c r="B53" i="5"/>
  <c r="B51" i="5"/>
  <c r="B40" i="5"/>
  <c r="B18" i="5"/>
  <c r="B39" i="5" s="1"/>
  <c r="B60" i="5" s="1"/>
  <c r="G62" i="3" l="1"/>
  <c r="H62" i="3" s="1"/>
  <c r="B32" i="6"/>
  <c r="E30" i="6"/>
  <c r="D30" i="6"/>
  <c r="C30" i="6"/>
  <c r="B30" i="6"/>
  <c r="B31" i="6" s="1"/>
  <c r="B17" i="6"/>
  <c r="B31" i="5"/>
  <c r="B21" i="5"/>
  <c r="B20" i="5"/>
  <c r="B19" i="5"/>
  <c r="B17" i="5"/>
  <c r="B32" i="5"/>
  <c r="E30" i="5"/>
  <c r="D30" i="5"/>
  <c r="C30" i="5"/>
  <c r="B30" i="5"/>
  <c r="B98" i="3" l="1"/>
  <c r="B87" i="3"/>
  <c r="B116" i="3"/>
  <c r="B116" i="4"/>
  <c r="B87" i="4"/>
  <c r="B42" i="5" l="1"/>
  <c r="D101" i="3"/>
  <c r="F99" i="3"/>
  <c r="D99" i="3"/>
  <c r="B30" i="4"/>
  <c r="B30" i="3"/>
  <c r="E91" i="3" l="1"/>
  <c r="D102" i="3"/>
  <c r="G92" i="3"/>
  <c r="E92" i="3"/>
  <c r="G93" i="3"/>
  <c r="E93" i="3"/>
  <c r="G91" i="3"/>
  <c r="B68" i="3"/>
  <c r="D47" i="3"/>
  <c r="B45" i="3"/>
  <c r="B34" i="3"/>
  <c r="B68" i="4"/>
  <c r="B69" i="4" s="1"/>
  <c r="B45" i="4"/>
  <c r="B34" i="4"/>
  <c r="C120" i="4"/>
  <c r="B98" i="4"/>
  <c r="D101" i="4" s="1"/>
  <c r="F95" i="4"/>
  <c r="F97" i="4"/>
  <c r="B81" i="4"/>
  <c r="B83" i="4" s="1"/>
  <c r="B80" i="4"/>
  <c r="C76" i="4"/>
  <c r="C56" i="4"/>
  <c r="B55" i="4"/>
  <c r="D48" i="4"/>
  <c r="F42" i="4"/>
  <c r="D42" i="4"/>
  <c r="F44" i="4"/>
  <c r="C120" i="3"/>
  <c r="B81" i="3"/>
  <c r="B83" i="3" s="1"/>
  <c r="B80" i="3"/>
  <c r="B79" i="3"/>
  <c r="C76" i="3"/>
  <c r="C56" i="3"/>
  <c r="B55" i="3"/>
  <c r="F42" i="3"/>
  <c r="D42" i="3"/>
  <c r="D44" i="3"/>
  <c r="C46" i="2"/>
  <c r="B57" i="4" s="1"/>
  <c r="C45" i="2"/>
  <c r="C19" i="2"/>
  <c r="G95" i="3" l="1"/>
  <c r="E95" i="3"/>
  <c r="D105" i="3"/>
  <c r="D103" i="3"/>
  <c r="D29" i="2"/>
  <c r="D28" i="2"/>
  <c r="D33" i="2"/>
  <c r="D39" i="2"/>
  <c r="D24" i="2"/>
  <c r="D40" i="2"/>
  <c r="D25" i="2"/>
  <c r="D31" i="2"/>
  <c r="D36" i="2"/>
  <c r="D41" i="2"/>
  <c r="C49" i="2"/>
  <c r="D48" i="3"/>
  <c r="D35" i="2"/>
  <c r="D27" i="2"/>
  <c r="D32" i="2"/>
  <c r="D37" i="2"/>
  <c r="D43" i="2"/>
  <c r="I92" i="3"/>
  <c r="I92" i="4"/>
  <c r="I39" i="3"/>
  <c r="F44" i="3"/>
  <c r="F45" i="3" s="1"/>
  <c r="F46" i="3" s="1"/>
  <c r="D45" i="3"/>
  <c r="D46" i="3" s="1"/>
  <c r="I39" i="4"/>
  <c r="F45" i="4"/>
  <c r="F46" i="4" s="1"/>
  <c r="F98" i="4"/>
  <c r="G92" i="4"/>
  <c r="D102" i="4"/>
  <c r="D49" i="3"/>
  <c r="D49" i="2"/>
  <c r="B57" i="3"/>
  <c r="B69" i="3" s="1"/>
  <c r="D44" i="4"/>
  <c r="D45" i="4" s="1"/>
  <c r="D49" i="4"/>
  <c r="D97" i="4"/>
  <c r="D98" i="4" s="1"/>
  <c r="C50" i="2"/>
  <c r="D26" i="2"/>
  <c r="D30" i="2"/>
  <c r="D34" i="2"/>
  <c r="D38" i="2"/>
  <c r="D42" i="2"/>
  <c r="B49" i="2"/>
  <c r="D50" i="2"/>
  <c r="E109" i="3" l="1"/>
  <c r="F109" i="3" s="1"/>
  <c r="E110" i="3"/>
  <c r="F110" i="3" s="1"/>
  <c r="D104" i="3"/>
  <c r="E112" i="3"/>
  <c r="F112" i="3" s="1"/>
  <c r="E113" i="3"/>
  <c r="F113" i="3" s="1"/>
  <c r="E108" i="3"/>
  <c r="F108" i="3" s="1"/>
  <c r="E111" i="3"/>
  <c r="F111" i="3" s="1"/>
  <c r="D103" i="4"/>
  <c r="E38" i="3"/>
  <c r="G38" i="3"/>
  <c r="G38" i="4"/>
  <c r="E39" i="3"/>
  <c r="E39" i="4"/>
  <c r="E38" i="4"/>
  <c r="F99" i="4"/>
  <c r="D99" i="4"/>
  <c r="G93" i="4"/>
  <c r="D105" i="4" s="1"/>
  <c r="E42" i="3"/>
  <c r="E40" i="3"/>
  <c r="G40" i="3"/>
  <c r="G39" i="3"/>
  <c r="G39" i="4"/>
  <c r="G40" i="4"/>
  <c r="D46" i="4"/>
  <c r="E40" i="4"/>
  <c r="E41" i="4"/>
  <c r="F115" i="3" l="1"/>
  <c r="G117" i="7"/>
  <c r="G115" i="7"/>
  <c r="G116" i="7" s="1"/>
  <c r="F117" i="3"/>
  <c r="E109" i="4"/>
  <c r="F109" i="4" s="1"/>
  <c r="D104" i="4"/>
  <c r="E108" i="4"/>
  <c r="F108" i="4" s="1"/>
  <c r="G95" i="4"/>
  <c r="D50" i="3"/>
  <c r="G69" i="3" s="1"/>
  <c r="G42" i="3"/>
  <c r="D52" i="3"/>
  <c r="G42" i="4"/>
  <c r="D50" i="4"/>
  <c r="E42" i="4"/>
  <c r="D52" i="4"/>
  <c r="F116" i="3" l="1"/>
  <c r="G120" i="3"/>
  <c r="H60" i="4"/>
  <c r="G60" i="4"/>
  <c r="D51" i="3"/>
  <c r="H68" i="3"/>
  <c r="G66" i="3"/>
  <c r="H66" i="3" s="1"/>
  <c r="G65" i="3"/>
  <c r="H65" i="3" s="1"/>
  <c r="D51" i="4"/>
  <c r="G70" i="4"/>
  <c r="H70" i="4" s="1"/>
  <c r="G65" i="4"/>
  <c r="H65" i="4" s="1"/>
  <c r="G61" i="4"/>
  <c r="H61" i="4" s="1"/>
  <c r="G68" i="4"/>
  <c r="H68" i="4" s="1"/>
  <c r="G69" i="4"/>
  <c r="H69" i="4" s="1"/>
  <c r="G66" i="4"/>
  <c r="H66" i="4" s="1"/>
  <c r="G64" i="4"/>
  <c r="H64" i="4" s="1"/>
  <c r="G62" i="4"/>
  <c r="H62" i="4" s="1"/>
  <c r="H72" i="3" l="1"/>
  <c r="G76" i="3" s="1"/>
  <c r="H74" i="3"/>
  <c r="F115" i="4"/>
  <c r="G120" i="4" s="1"/>
  <c r="F117" i="4"/>
  <c r="H72" i="4"/>
  <c r="G76" i="4" s="1"/>
  <c r="H74" i="4"/>
  <c r="H73" i="3" l="1"/>
  <c r="F116" i="4"/>
  <c r="H73" i="4"/>
</calcChain>
</file>

<file path=xl/sharedStrings.xml><?xml version="1.0" encoding="utf-8"?>
<sst xmlns="http://schemas.openxmlformats.org/spreadsheetml/2006/main" count="616" uniqueCount="133">
  <si>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</si>
  <si>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</si>
  <si>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</si>
  <si>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</si>
  <si>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</si>
  <si>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</si>
  <si>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</si>
  <si>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</si>
  <si>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</si>
  <si>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</si>
  <si>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</si>
  <si>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</si>
  <si>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</si>
  <si>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</si>
  <si>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</si>
  <si>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>Mwt of compound in salt form: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</si>
  <si>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</si>
  <si>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</si>
  <si>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</si>
  <si>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</si>
  <si>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</si>
  <si>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</si>
  <si>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</si>
  <si>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</si>
  <si>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</si>
  <si>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</si>
  <si>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</si>
  <si>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</si>
  <si>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</si>
  <si>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</si>
  <si>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</si>
  <si>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</si>
  <si>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</si>
  <si>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</si>
  <si>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</si>
  <si>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</si>
  <si>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</si>
  <si>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</si>
  <si>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</si>
  <si>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</si>
  <si>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</si>
  <si>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</si>
  <si>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</si>
  <si>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</si>
  <si>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</si>
  <si>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</si>
  <si>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</si>
  <si>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</si>
  <si>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</si>
  <si>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</si>
  <si>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</si>
  <si>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</si>
  <si>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</si>
  <si>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</si>
  <si>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</si>
  <si>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</si>
  <si>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</si>
  <si>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</si>
  <si>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</si>
  <si>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</si>
  <si>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</si>
  <si>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</si>
  <si>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</si>
  <si>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</si>
  <si>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</si>
  <si>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</si>
  <si>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</si>
  <si>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</si>
  <si>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</si>
  <si>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</si>
  <si>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</si>
  <si>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</si>
  <si>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</si>
  <si>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</si>
  <si>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ORINASE-MET 1.0 TABLETS</t>
  </si>
  <si>
    <t>NDQD201410909</t>
  </si>
  <si>
    <t>Glimepiride 1mg, Metformin HCl 500mg</t>
  </si>
  <si>
    <t>2014-10-31 10:11:18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</si>
  <si>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</si>
  <si>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</si>
  <si>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</si>
  <si>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</si>
  <si>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</si>
  <si>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</si>
  <si>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</si>
  <si>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</si>
  <si>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</si>
  <si>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</si>
  <si>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Initial Standard dilution volume (mL):</t>
  </si>
  <si>
    <t xml:space="preserve">Std Response Deviation </t>
  </si>
  <si>
    <t>Mass of RS (mg):</t>
  </si>
  <si>
    <t>Mass of WRS as free base (mg):</t>
  </si>
  <si>
    <t>Purity correction (mg):</t>
  </si>
  <si>
    <t>Concentration (mg/mL):</t>
  </si>
  <si>
    <t>Desired Concentration (mg/mL):</t>
  </si>
  <si>
    <t>Each Tablet contains</t>
  </si>
  <si>
    <t>Average Tablet Content Weight (mg):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</si>
  <si>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</si>
  <si>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</si>
  <si>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</si>
  <si>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</si>
  <si>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</si>
  <si>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</si>
  <si>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</si>
  <si>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</si>
  <si>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 xml:space="preserve">The amount  of </t>
  </si>
  <si>
    <t xml:space="preserve">dissolved as a percentage of the stated  label claim is </t>
  </si>
  <si>
    <t>M19-1</t>
  </si>
  <si>
    <t>G</t>
  </si>
  <si>
    <t>HPLC System Suitability Report</t>
  </si>
  <si>
    <t>Sample(s)</t>
  </si>
  <si>
    <t>Weight (mg):</t>
  </si>
  <si>
    <t>Standard Conc (mg/mL):</t>
  </si>
  <si>
    <t>2017-09-27 14:25:23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</si>
  <si>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</si>
  <si>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</si>
  <si>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</si>
  <si>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</si>
  <si>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</si>
  <si>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</si>
  <si>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</si>
  <si>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</si>
  <si>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</si>
  <si>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</si>
  <si>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</si>
  <si>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</si>
  <si>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t>Assay - Glimepiride</t>
  </si>
  <si>
    <t xml:space="preserve">Assay - Metformin HCl </t>
  </si>
  <si>
    <t>Glimepiride</t>
  </si>
  <si>
    <t>Dissolution - REPEAT</t>
  </si>
  <si>
    <t>SUMMARY</t>
  </si>
  <si>
    <t>Determination of Active Ingredient Dissolved - REPEAT</t>
  </si>
  <si>
    <t xml:space="preserve">Metformin HCl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</si>
</sst>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0.0000\ &quot;mg&quot;"/>
    <numFmt numFmtId="165" formatCode="0.000"/>
    <numFmt numFmtId="166" formatCode="0.0000"/>
    <numFmt numFmtId="167" formatCode="0.0%"/>
    <numFmt numFmtId="168" formatCode="0.00000"/>
    <numFmt numFmtId="169" formatCode="[$-409]d/mmm/yy;@"/>
    <numFmt numFmtId="170" formatCode="dd\-mmm\-yyyy"/>
    <numFmt numFmtId="171" formatCode="0.0\ &quot;mg&quot;"/>
    <numFmt numFmtId="172" formatCode="0.0"/>
    <numFmt numFmtId="173" formatCode="0.000%"/>
  </numFmts>
  <fonts count="31" x14ac:knownFonts="1">
    <font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9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right"/>
    </xf>
    <xf numFmtId="168" fontId="12" fillId="2" borderId="0" xfId="0" applyNumberFormat="1" applyFont="1" applyFill="1"/>
    <xf numFmtId="2" fontId="11" fillId="2" borderId="0" xfId="0" applyNumberFormat="1" applyFont="1" applyFill="1"/>
    <xf numFmtId="0" fontId="13" fillId="2" borderId="0" xfId="0" applyFont="1" applyFill="1" applyAlignment="1">
      <alignment horizontal="left"/>
    </xf>
    <xf numFmtId="0" fontId="10" fillId="2" borderId="0" xfId="0" applyFont="1" applyFill="1"/>
    <xf numFmtId="0" fontId="10" fillId="2" borderId="0" xfId="0" applyFont="1" applyFill="1"/>
    <xf numFmtId="0" fontId="14" fillId="2" borderId="0" xfId="0" applyFont="1" applyFill="1" applyAlignment="1">
      <alignment horizontal="right"/>
    </xf>
    <xf numFmtId="0" fontId="10" fillId="2" borderId="39" xfId="0" applyFont="1" applyFill="1" applyBorder="1"/>
    <xf numFmtId="0" fontId="10" fillId="2" borderId="0" xfId="0" applyFont="1" applyFill="1" applyAlignment="1">
      <alignment horizontal="center"/>
    </xf>
    <xf numFmtId="10" fontId="10" fillId="2" borderId="39" xfId="0" applyNumberFormat="1" applyFont="1" applyFill="1" applyBorder="1"/>
    <xf numFmtId="0" fontId="15" fillId="2" borderId="0" xfId="0" applyFont="1" applyFill="1"/>
    <xf numFmtId="0" fontId="14" fillId="2" borderId="34" xfId="0" applyFont="1" applyFill="1" applyBorder="1"/>
    <xf numFmtId="0" fontId="14" fillId="2" borderId="34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0" fillId="2" borderId="35" xfId="0" applyFont="1" applyFill="1" applyBorder="1"/>
    <xf numFmtId="0" fontId="10" fillId="2" borderId="0" xfId="0" applyFont="1" applyFill="1"/>
    <xf numFmtId="0" fontId="10" fillId="2" borderId="35" xfId="0" applyFont="1" applyFill="1" applyBorder="1"/>
    <xf numFmtId="0" fontId="14" fillId="2" borderId="42" xfId="0" applyFont="1" applyFill="1" applyBorder="1"/>
    <xf numFmtId="0" fontId="14" fillId="2" borderId="0" xfId="0" applyFont="1" applyFill="1"/>
    <xf numFmtId="0" fontId="10" fillId="2" borderId="42" xfId="0" applyFont="1" applyFill="1" applyBorder="1"/>
    <xf numFmtId="169" fontId="10" fillId="2" borderId="0" xfId="0" applyNumberFormat="1" applyFont="1" applyFill="1"/>
    <xf numFmtId="166" fontId="10" fillId="2" borderId="0" xfId="0" applyNumberFormat="1" applyFont="1" applyFill="1" applyAlignment="1">
      <alignment horizontal="center"/>
    </xf>
    <xf numFmtId="2" fontId="14" fillId="2" borderId="0" xfId="0" applyNumberFormat="1" applyFont="1" applyFill="1"/>
    <xf numFmtId="10" fontId="9" fillId="2" borderId="0" xfId="0" applyNumberFormat="1" applyFont="1" applyFill="1"/>
    <xf numFmtId="2" fontId="14" fillId="2" borderId="53" xfId="0" applyNumberFormat="1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right" vertical="center"/>
    </xf>
    <xf numFmtId="166" fontId="10" fillId="2" borderId="53" xfId="0" applyNumberFormat="1" applyFont="1" applyFill="1" applyBorder="1" applyAlignment="1">
      <alignment horizontal="center" vertical="center"/>
    </xf>
    <xf numFmtId="168" fontId="14" fillId="2" borderId="53" xfId="0" applyNumberFormat="1" applyFont="1" applyFill="1" applyBorder="1" applyAlignment="1">
      <alignment horizontal="center" vertical="center"/>
    </xf>
    <xf numFmtId="0" fontId="14" fillId="2" borderId="53" xfId="0" applyFont="1" applyFill="1" applyBorder="1" applyAlignment="1">
      <alignment horizontal="center" wrapText="1"/>
    </xf>
    <xf numFmtId="168" fontId="14" fillId="2" borderId="53" xfId="0" applyNumberFormat="1" applyFont="1" applyFill="1" applyBorder="1" applyAlignment="1">
      <alignment horizontal="center" wrapText="1"/>
    </xf>
    <xf numFmtId="10" fontId="10" fillId="2" borderId="15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10" fontId="10" fillId="2" borderId="17" xfId="0" applyNumberFormat="1" applyFont="1" applyFill="1" applyBorder="1" applyAlignment="1">
      <alignment horizontal="center"/>
    </xf>
    <xf numFmtId="0" fontId="13" fillId="2" borderId="0" xfId="0" applyFont="1" applyFill="1"/>
    <xf numFmtId="0" fontId="16" fillId="2" borderId="0" xfId="0" applyFont="1" applyFill="1" applyAlignment="1">
      <alignment wrapText="1"/>
    </xf>
    <xf numFmtId="0" fontId="14" fillId="2" borderId="53" xfId="0" applyFont="1" applyFill="1" applyBorder="1" applyAlignment="1">
      <alignment horizontal="center" vertical="center"/>
    </xf>
    <xf numFmtId="167" fontId="14" fillId="2" borderId="41" xfId="0" applyNumberFormat="1" applyFont="1" applyFill="1" applyBorder="1" applyAlignment="1">
      <alignment horizontal="center"/>
    </xf>
    <xf numFmtId="167" fontId="14" fillId="2" borderId="13" xfId="0" applyNumberFormat="1" applyFont="1" applyFill="1" applyBorder="1" applyAlignment="1">
      <alignment horizontal="center"/>
    </xf>
    <xf numFmtId="2" fontId="10" fillId="5" borderId="16" xfId="0" applyNumberFormat="1" applyFont="1" applyFill="1" applyBorder="1" applyProtection="1">
      <protection locked="0"/>
    </xf>
    <xf numFmtId="2" fontId="10" fillId="5" borderId="17" xfId="0" applyNumberFormat="1" applyFont="1" applyFill="1" applyBorder="1" applyProtection="1">
      <protection locked="0"/>
    </xf>
    <xf numFmtId="16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70" fontId="18" fillId="5" borderId="0" xfId="0" applyNumberFormat="1" applyFont="1" applyFill="1" applyAlignment="1" applyProtection="1">
      <alignment horizontal="center"/>
      <protection locked="0"/>
    </xf>
    <xf numFmtId="15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7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7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7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7" fillId="5" borderId="40" xfId="0" applyFont="1" applyFill="1" applyBorder="1" applyAlignment="1" applyProtection="1">
      <alignment horizontal="center"/>
      <protection locked="0"/>
    </xf>
    <xf numFmtId="165" fontId="2" fillId="2" borderId="23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/>
      <protection locked="0"/>
    </xf>
    <xf numFmtId="165" fontId="2" fillId="2" borderId="24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17" fillId="5" borderId="9" xfId="0" applyFont="1" applyFill="1" applyBorder="1" applyAlignment="1" applyProtection="1">
      <alignment horizontal="center"/>
      <protection locked="0"/>
    </xf>
    <xf numFmtId="165" fontId="2" fillId="2" borderId="25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5" fontId="3" fillId="3" borderId="20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7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0" fontId="2" fillId="2" borderId="54" xfId="0" applyFont="1" applyFill="1" applyBorder="1" applyAlignment="1">
      <alignment horizontal="right"/>
    </xf>
    <xf numFmtId="166" fontId="17" fillId="5" borderId="12" xfId="0" applyNumberFormat="1" applyFont="1" applyFill="1" applyBorder="1" applyAlignment="1" applyProtection="1">
      <alignment horizontal="center"/>
      <protection locked="0"/>
    </xf>
    <xf numFmtId="166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5" fontId="3" fillId="4" borderId="15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1" fontId="17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7" fillId="5" borderId="1" xfId="0" applyFont="1" applyFill="1" applyBorder="1" applyAlignment="1" applyProtection="1">
      <alignment horizontal="center"/>
      <protection locked="0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7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7" fillId="5" borderId="29" xfId="0" applyFont="1" applyFill="1" applyBorder="1" applyAlignment="1" applyProtection="1">
      <alignment horizontal="center"/>
      <protection locked="0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/>
    </xf>
    <xf numFmtId="2" fontId="18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7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7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7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7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1" fontId="3" fillId="3" borderId="47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5" fontId="3" fillId="3" borderId="17" xfId="0" applyNumberFormat="1" applyFont="1" applyFill="1" applyBorder="1" applyAlignment="1">
      <alignment horizontal="center"/>
    </xf>
    <xf numFmtId="0" fontId="2" fillId="2" borderId="45" xfId="0" applyFont="1" applyFill="1" applyBorder="1" applyAlignment="1">
      <alignment horizontal="right"/>
    </xf>
    <xf numFmtId="0" fontId="17" fillId="5" borderId="4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6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6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4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5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2" fillId="2" borderId="26" xfId="0" applyNumberFormat="1" applyFont="1" applyFill="1" applyBorder="1" applyAlignment="1">
      <alignment horizontal="right"/>
    </xf>
    <xf numFmtId="10" fontId="17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166" fontId="2" fillId="2" borderId="1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2" borderId="15" xfId="0" applyNumberFormat="1" applyFont="1" applyFill="1" applyBorder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166" fontId="2" fillId="2" borderId="17" xfId="0" applyNumberFormat="1" applyFont="1" applyFill="1" applyBorder="1" applyAlignment="1">
      <alignment horizontal="center"/>
    </xf>
    <xf numFmtId="10" fontId="17" fillId="3" borderId="18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2" fillId="2" borderId="24" xfId="0" applyNumberFormat="1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70" fontId="18" fillId="5" borderId="0" xfId="0" applyNumberFormat="1" applyFont="1" applyFill="1" applyAlignment="1" applyProtection="1">
      <alignment horizontal="center"/>
      <protection locked="0"/>
    </xf>
    <xf numFmtId="15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7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7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7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7" fillId="5" borderId="40" xfId="0" applyFont="1" applyFill="1" applyBorder="1" applyAlignment="1" applyProtection="1">
      <alignment horizontal="center"/>
      <protection locked="0"/>
    </xf>
    <xf numFmtId="165" fontId="2" fillId="2" borderId="23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/>
      <protection locked="0"/>
    </xf>
    <xf numFmtId="165" fontId="2" fillId="2" borderId="24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17" fillId="5" borderId="9" xfId="0" applyFont="1" applyFill="1" applyBorder="1" applyAlignment="1" applyProtection="1">
      <alignment horizontal="center"/>
      <protection locked="0"/>
    </xf>
    <xf numFmtId="165" fontId="2" fillId="2" borderId="25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5" fontId="3" fillId="3" borderId="20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7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0" fontId="2" fillId="2" borderId="54" xfId="0" applyFont="1" applyFill="1" applyBorder="1" applyAlignment="1">
      <alignment horizontal="right"/>
    </xf>
    <xf numFmtId="166" fontId="17" fillId="5" borderId="12" xfId="0" applyNumberFormat="1" applyFont="1" applyFill="1" applyBorder="1" applyAlignment="1" applyProtection="1">
      <alignment horizontal="center"/>
      <protection locked="0"/>
    </xf>
    <xf numFmtId="166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5" fontId="3" fillId="4" borderId="15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1" fontId="17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7" fillId="5" borderId="1" xfId="0" applyFont="1" applyFill="1" applyBorder="1" applyAlignment="1" applyProtection="1">
      <alignment horizontal="center"/>
      <protection locked="0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7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7" fillId="5" borderId="29" xfId="0" applyFont="1" applyFill="1" applyBorder="1" applyAlignment="1" applyProtection="1">
      <alignment horizontal="center"/>
      <protection locked="0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/>
    </xf>
    <xf numFmtId="2" fontId="18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7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7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7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7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165" fontId="17" fillId="5" borderId="9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right"/>
    </xf>
    <xf numFmtId="1" fontId="3" fillId="3" borderId="47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5" fontId="3" fillId="3" borderId="17" xfId="0" applyNumberFormat="1" applyFont="1" applyFill="1" applyBorder="1" applyAlignment="1">
      <alignment horizontal="center"/>
    </xf>
    <xf numFmtId="0" fontId="2" fillId="2" borderId="45" xfId="0" applyFont="1" applyFill="1" applyBorder="1" applyAlignment="1">
      <alignment horizontal="right"/>
    </xf>
    <xf numFmtId="0" fontId="17" fillId="5" borderId="4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6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6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4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5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" fontId="17" fillId="5" borderId="24" xfId="0" applyNumberFormat="1" applyFont="1" applyFill="1" applyBorder="1" applyAlignment="1" applyProtection="1">
      <alignment horizontal="center"/>
      <protection locked="0"/>
    </xf>
    <xf numFmtId="10" fontId="2" fillId="2" borderId="6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17" fillId="5" borderId="25" xfId="0" applyNumberFormat="1" applyFont="1" applyFill="1" applyBorder="1" applyAlignment="1" applyProtection="1">
      <alignment horizontal="center"/>
      <protection locked="0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2" fillId="2" borderId="26" xfId="0" applyNumberFormat="1" applyFont="1" applyFill="1" applyBorder="1" applyAlignment="1">
      <alignment horizontal="right"/>
    </xf>
    <xf numFmtId="10" fontId="17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10" fontId="17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166" fontId="2" fillId="2" borderId="1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2" borderId="15" xfId="0" applyNumberFormat="1" applyFont="1" applyFill="1" applyBorder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166" fontId="2" fillId="2" borderId="17" xfId="0" applyNumberFormat="1" applyFont="1" applyFill="1" applyBorder="1" applyAlignment="1">
      <alignment horizontal="center"/>
    </xf>
    <xf numFmtId="10" fontId="17" fillId="3" borderId="18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2" fillId="2" borderId="24" xfId="0" applyNumberFormat="1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center"/>
    </xf>
    <xf numFmtId="0" fontId="18" fillId="5" borderId="0" xfId="0" applyFont="1" applyFill="1" applyAlignment="1" applyProtection="1">
      <alignment horizontal="left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8" fontId="28" fillId="2" borderId="0" xfId="1" applyNumberFormat="1" applyFont="1" applyFill="1" applyAlignment="1">
      <alignment horizontal="center"/>
    </xf>
    <xf numFmtId="0" fontId="28" fillId="2" borderId="55" xfId="1" applyFont="1" applyFill="1" applyBorder="1" applyAlignment="1">
      <alignment horizontal="center"/>
    </xf>
    <xf numFmtId="0" fontId="28" fillId="2" borderId="26" xfId="1" applyFont="1" applyFill="1" applyBorder="1" applyAlignment="1">
      <alignment horizontal="center"/>
    </xf>
    <xf numFmtId="0" fontId="25" fillId="2" borderId="56" xfId="1" applyFont="1" applyFill="1" applyBorder="1"/>
    <xf numFmtId="0" fontId="29" fillId="2" borderId="57" xfId="1" applyFont="1" applyFill="1" applyBorder="1" applyAlignment="1">
      <alignment horizontal="center"/>
    </xf>
    <xf numFmtId="0" fontId="30" fillId="5" borderId="57" xfId="1" applyFont="1" applyFill="1" applyBorder="1" applyAlignment="1" applyProtection="1">
      <alignment horizontal="center"/>
      <protection locked="0"/>
    </xf>
    <xf numFmtId="2" fontId="30" fillId="5" borderId="57" xfId="1" applyNumberFormat="1" applyFont="1" applyFill="1" applyBorder="1" applyAlignment="1" applyProtection="1">
      <alignment horizontal="center"/>
      <protection locked="0"/>
    </xf>
    <xf numFmtId="2" fontId="30" fillId="5" borderId="23" xfId="1" applyNumberFormat="1" applyFont="1" applyFill="1" applyBorder="1" applyAlignment="1" applyProtection="1">
      <alignment horizontal="center"/>
      <protection locked="0"/>
    </xf>
    <xf numFmtId="2" fontId="30" fillId="5" borderId="24" xfId="1" applyNumberFormat="1" applyFont="1" applyFill="1" applyBorder="1" applyAlignment="1" applyProtection="1">
      <alignment horizontal="center"/>
      <protection locked="0"/>
    </xf>
    <xf numFmtId="0" fontId="30" fillId="5" borderId="58" xfId="1" applyFont="1" applyFill="1" applyBorder="1" applyAlignment="1" applyProtection="1">
      <alignment horizontal="center"/>
      <protection locked="0"/>
    </xf>
    <xf numFmtId="2" fontId="30" fillId="5" borderId="58" xfId="1" applyNumberFormat="1" applyFont="1" applyFill="1" applyBorder="1" applyAlignment="1" applyProtection="1">
      <alignment horizontal="center"/>
      <protection locked="0"/>
    </xf>
    <xf numFmtId="2" fontId="30" fillId="5" borderId="25" xfId="1" applyNumberFormat="1" applyFont="1" applyFill="1" applyBorder="1" applyAlignment="1" applyProtection="1">
      <alignment horizontal="center"/>
      <protection locked="0"/>
    </xf>
    <xf numFmtId="0" fontId="29" fillId="2" borderId="59" xfId="1" applyFont="1" applyFill="1" applyBorder="1"/>
    <xf numFmtId="1" fontId="28" fillId="6" borderId="26" xfId="1" applyNumberFormat="1" applyFont="1" applyFill="1" applyBorder="1" applyAlignment="1">
      <alignment horizontal="center"/>
    </xf>
    <xf numFmtId="2" fontId="28" fillId="6" borderId="55" xfId="1" applyNumberFormat="1" applyFont="1" applyFill="1" applyBorder="1" applyAlignment="1">
      <alignment horizontal="center"/>
    </xf>
    <xf numFmtId="2" fontId="28" fillId="6" borderId="26" xfId="1" applyNumberFormat="1" applyFont="1" applyFill="1" applyBorder="1" applyAlignment="1">
      <alignment horizontal="center"/>
    </xf>
    <xf numFmtId="0" fontId="29" fillId="2" borderId="57" xfId="1" applyFont="1" applyFill="1" applyBorder="1"/>
    <xf numFmtId="10" fontId="28" fillId="7" borderId="55" xfId="1" applyNumberFormat="1" applyFont="1" applyFill="1" applyBorder="1" applyAlignment="1">
      <alignment horizontal="center"/>
    </xf>
    <xf numFmtId="167" fontId="28" fillId="2" borderId="0" xfId="1" applyNumberFormat="1" applyFont="1" applyFill="1" applyAlignment="1">
      <alignment horizontal="center"/>
    </xf>
    <xf numFmtId="0" fontId="29" fillId="2" borderId="0" xfId="1" applyFont="1" applyFill="1" applyBorder="1"/>
    <xf numFmtId="0" fontId="29" fillId="2" borderId="58" xfId="1" applyFont="1" applyFill="1" applyBorder="1"/>
    <xf numFmtId="0" fontId="28" fillId="6" borderId="55" xfId="1" applyFont="1" applyFill="1" applyBorder="1" applyAlignment="1">
      <alignment horizontal="center"/>
    </xf>
    <xf numFmtId="0" fontId="28" fillId="2" borderId="35" xfId="1" applyFont="1" applyFill="1" applyBorder="1" applyAlignment="1">
      <alignment horizontal="center"/>
    </xf>
    <xf numFmtId="0" fontId="29" fillId="2" borderId="35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2" fontId="30" fillId="5" borderId="59" xfId="1" applyNumberFormat="1" applyFont="1" applyFill="1" applyBorder="1" applyAlignment="1" applyProtection="1">
      <alignment horizontal="center"/>
      <protection locked="0"/>
    </xf>
    <xf numFmtId="0" fontId="29" fillId="2" borderId="28" xfId="1" applyFont="1" applyFill="1" applyBorder="1"/>
    <xf numFmtId="0" fontId="29" fillId="2" borderId="60" xfId="1" applyFont="1" applyFill="1" applyBorder="1"/>
    <xf numFmtId="0" fontId="25" fillId="2" borderId="39" xfId="1" applyFont="1" applyFill="1" applyBorder="1"/>
    <xf numFmtId="0" fontId="25" fillId="2" borderId="0" xfId="1" applyFont="1" applyFill="1" applyAlignment="1">
      <alignment horizontal="center"/>
    </xf>
    <xf numFmtId="10" fontId="25" fillId="2" borderId="39" xfId="1" applyNumberFormat="1" applyFont="1" applyFill="1" applyBorder="1"/>
    <xf numFmtId="0" fontId="23" fillId="2" borderId="0" xfId="1" applyFill="1"/>
    <xf numFmtId="0" fontId="24" fillId="2" borderId="34" xfId="1" applyFont="1" applyFill="1" applyBorder="1" applyAlignment="1"/>
    <xf numFmtId="0" fontId="24" fillId="2" borderId="34" xfId="1" applyFont="1" applyFill="1" applyBorder="1" applyAlignment="1">
      <alignment horizontal="center"/>
    </xf>
    <xf numFmtId="0" fontId="25" fillId="2" borderId="34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35" xfId="1" applyFont="1" applyFill="1" applyBorder="1"/>
    <xf numFmtId="0" fontId="24" fillId="2" borderId="42" xfId="1" applyFont="1" applyFill="1" applyBorder="1"/>
    <xf numFmtId="0" fontId="25" fillId="2" borderId="42" xfId="1" applyFont="1" applyFill="1" applyBorder="1"/>
    <xf numFmtId="172" fontId="28" fillId="6" borderId="55" xfId="1" applyNumberFormat="1" applyFont="1" applyFill="1" applyBorder="1" applyAlignment="1">
      <alignment horizontal="center"/>
    </xf>
    <xf numFmtId="172" fontId="17" fillId="5" borderId="41" xfId="0" applyNumberFormat="1" applyFont="1" applyFill="1" applyBorder="1" applyAlignment="1" applyProtection="1">
      <alignment horizontal="center"/>
      <protection locked="0"/>
    </xf>
    <xf numFmtId="173" fontId="17" fillId="3" borderId="27" xfId="0" applyNumberFormat="1" applyFont="1" applyFill="1" applyBorder="1" applyAlignment="1">
      <alignment horizontal="center"/>
    </xf>
    <xf numFmtId="167" fontId="17" fillId="3" borderId="27" xfId="0" applyNumberFormat="1" applyFont="1" applyFill="1" applyBorder="1" applyAlignment="1">
      <alignment horizontal="center"/>
    </xf>
    <xf numFmtId="2" fontId="17" fillId="5" borderId="41" xfId="0" applyNumberFormat="1" applyFont="1" applyFill="1" applyBorder="1" applyAlignment="1" applyProtection="1">
      <alignment horizontal="center"/>
      <protection locked="0"/>
    </xf>
    <xf numFmtId="166" fontId="14" fillId="2" borderId="15" xfId="0" applyNumberFormat="1" applyFont="1" applyFill="1" applyBorder="1" applyAlignment="1">
      <alignment horizontal="center" vertical="center"/>
    </xf>
    <xf numFmtId="166" fontId="14" fillId="2" borderId="17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6" fillId="2" borderId="49" xfId="0" applyFont="1" applyFill="1" applyBorder="1" applyAlignment="1">
      <alignment horizontal="center" wrapText="1"/>
    </xf>
    <xf numFmtId="0" fontId="16" fillId="2" borderId="50" xfId="0" applyFont="1" applyFill="1" applyBorder="1" applyAlignment="1">
      <alignment horizontal="center" wrapText="1"/>
    </xf>
    <xf numFmtId="0" fontId="16" fillId="2" borderId="51" xfId="0" applyFont="1" applyFill="1" applyBorder="1" applyAlignment="1">
      <alignment horizontal="center" wrapText="1"/>
    </xf>
    <xf numFmtId="168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17" fillId="5" borderId="0" xfId="0" applyFont="1" applyFill="1" applyAlignment="1" applyProtection="1">
      <alignment horizontal="left" wrapText="1"/>
      <protection locked="0"/>
    </xf>
    <xf numFmtId="0" fontId="8" fillId="2" borderId="49" xfId="0" applyFont="1" applyFill="1" applyBorder="1" applyAlignment="1">
      <alignment horizontal="center"/>
    </xf>
    <xf numFmtId="0" fontId="8" fillId="2" borderId="50" xfId="0" applyFont="1" applyFill="1" applyBorder="1" applyAlignment="1">
      <alignment horizontal="center"/>
    </xf>
    <xf numFmtId="0" fontId="8" fillId="2" borderId="51" xfId="0" applyFont="1" applyFill="1" applyBorder="1" applyAlignment="1">
      <alignment horizontal="center"/>
    </xf>
    <xf numFmtId="0" fontId="21" fillId="2" borderId="34" xfId="0" applyFont="1" applyFill="1" applyBorder="1" applyAlignment="1">
      <alignment horizontal="center" vertical="center"/>
    </xf>
    <xf numFmtId="0" fontId="18" fillId="5" borderId="0" xfId="0" applyFont="1" applyFill="1" applyAlignment="1" applyProtection="1">
      <alignment horizontal="left" wrapText="1"/>
      <protection locked="0"/>
    </xf>
    <xf numFmtId="0" fontId="18" fillId="5" borderId="0" xfId="0" applyFont="1" applyFill="1" applyAlignment="1" applyProtection="1">
      <alignment horizontal="left"/>
      <protection locked="0"/>
    </xf>
    <xf numFmtId="0" fontId="8" fillId="2" borderId="49" xfId="0" applyFont="1" applyFill="1" applyBorder="1" applyAlignment="1">
      <alignment horizontal="justify" vertical="center" wrapText="1"/>
    </xf>
    <xf numFmtId="0" fontId="8" fillId="2" borderId="50" xfId="0" applyFont="1" applyFill="1" applyBorder="1" applyAlignment="1">
      <alignment horizontal="justify" vertical="center" wrapText="1"/>
    </xf>
    <xf numFmtId="0" fontId="8" fillId="2" borderId="51" xfId="0" applyFont="1" applyFill="1" applyBorder="1" applyAlignment="1">
      <alignment horizontal="justify" vertical="center" wrapText="1"/>
    </xf>
    <xf numFmtId="0" fontId="8" fillId="2" borderId="49" xfId="0" applyFont="1" applyFill="1" applyBorder="1" applyAlignment="1">
      <alignment horizontal="left" vertical="center" wrapText="1"/>
    </xf>
    <xf numFmtId="0" fontId="8" fillId="2" borderId="50" xfId="0" applyFont="1" applyFill="1" applyBorder="1" applyAlignment="1">
      <alignment horizontal="left" vertical="center" wrapText="1"/>
    </xf>
    <xf numFmtId="0" fontId="8" fillId="2" borderId="51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17" fillId="5" borderId="0" xfId="0" applyFont="1" applyFill="1" applyAlignment="1" applyProtection="1">
      <alignment horizontal="left"/>
      <protection locked="0"/>
    </xf>
    <xf numFmtId="10" fontId="5" fillId="2" borderId="16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2" fontId="17" fillId="5" borderId="15" xfId="0" applyNumberFormat="1" applyFont="1" applyFill="1" applyBorder="1" applyAlignment="1" applyProtection="1">
      <alignment horizontal="center" vertical="center"/>
      <protection locked="0"/>
    </xf>
    <xf numFmtId="2" fontId="17" fillId="5" borderId="16" xfId="0" applyNumberFormat="1" applyFont="1" applyFill="1" applyBorder="1" applyAlignment="1" applyProtection="1">
      <alignment horizontal="center" vertical="center"/>
      <protection locked="0"/>
    </xf>
    <xf numFmtId="2" fontId="17" fillId="5" borderId="17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8.7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8" t="s">
        <v>72</v>
      </c>
      <c r="B11" s="479"/>
      <c r="C11" s="479"/>
      <c r="D11" s="479"/>
      <c r="E11" s="479"/>
      <c r="F11" s="480"/>
      <c r="G11" s="43"/>
    </row>
    <row r="12" spans="1:7" ht="16.5" customHeight="1" x14ac:dyDescent="0.3">
      <c r="A12" s="477" t="s">
        <v>73</v>
      </c>
      <c r="B12" s="477"/>
      <c r="C12" s="477"/>
      <c r="D12" s="477"/>
      <c r="E12" s="477"/>
      <c r="F12" s="477"/>
      <c r="G12" s="42"/>
    </row>
    <row r="14" spans="1:7" ht="16.5" customHeight="1" x14ac:dyDescent="0.3">
      <c r="A14" s="482" t="s">
        <v>1</v>
      </c>
      <c r="B14" s="482"/>
      <c r="C14" s="12" t="s">
        <v>74</v>
      </c>
    </row>
    <row r="15" spans="1:7" ht="16.5" customHeight="1" x14ac:dyDescent="0.3">
      <c r="A15" s="482" t="s">
        <v>2</v>
      </c>
      <c r="B15" s="482"/>
      <c r="C15" s="12" t="s">
        <v>75</v>
      </c>
    </row>
    <row r="16" spans="1:7" ht="16.5" customHeight="1" x14ac:dyDescent="0.3">
      <c r="A16" s="482" t="s">
        <v>3</v>
      </c>
      <c r="B16" s="482"/>
      <c r="C16" s="12" t="s">
        <v>76</v>
      </c>
    </row>
    <row r="17" spans="1:5" ht="16.5" customHeight="1" x14ac:dyDescent="0.3">
      <c r="A17" s="482" t="s">
        <v>4</v>
      </c>
      <c r="B17" s="482"/>
      <c r="C17" s="12" t="s">
        <v>76</v>
      </c>
    </row>
    <row r="18" spans="1:5" ht="16.5" customHeight="1" x14ac:dyDescent="0.3">
      <c r="A18" s="482" t="s">
        <v>5</v>
      </c>
      <c r="B18" s="482"/>
      <c r="C18" s="49" t="s">
        <v>77</v>
      </c>
    </row>
    <row r="19" spans="1:5" ht="16.5" customHeight="1" x14ac:dyDescent="0.3">
      <c r="A19" s="482" t="s">
        <v>6</v>
      </c>
      <c r="B19" s="482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7" t="s">
        <v>7</v>
      </c>
      <c r="B21" s="477"/>
      <c r="C21" s="11" t="s">
        <v>78</v>
      </c>
      <c r="D21" s="18"/>
    </row>
    <row r="22" spans="1:5" ht="15.75" customHeight="1" x14ac:dyDescent="0.3">
      <c r="A22" s="481"/>
      <c r="B22" s="481"/>
      <c r="C22" s="9"/>
      <c r="D22" s="481"/>
      <c r="E22" s="481"/>
    </row>
    <row r="23" spans="1:5" ht="33.75" customHeight="1" x14ac:dyDescent="0.3">
      <c r="C23" s="38" t="s">
        <v>79</v>
      </c>
      <c r="D23" s="37" t="s">
        <v>80</v>
      </c>
      <c r="E23" s="4"/>
    </row>
    <row r="24" spans="1:5" ht="15.75" customHeight="1" x14ac:dyDescent="0.3">
      <c r="C24" s="47">
        <v>617.45000000000005</v>
      </c>
      <c r="D24" s="39">
        <f t="shared" ref="D24:D43" si="0">(C24-$C$46)/$C$46</f>
        <v>4.4712758956990274E-3</v>
      </c>
      <c r="E24" s="5"/>
    </row>
    <row r="25" spans="1:5" ht="15.75" customHeight="1" x14ac:dyDescent="0.3">
      <c r="C25" s="47">
        <v>629.62</v>
      </c>
      <c r="D25" s="40">
        <f t="shared" si="0"/>
        <v>2.4269503165357486E-2</v>
      </c>
      <c r="E25" s="5"/>
    </row>
    <row r="26" spans="1:5" ht="15.75" customHeight="1" x14ac:dyDescent="0.3">
      <c r="C26" s="47">
        <v>621.28</v>
      </c>
      <c r="D26" s="40">
        <f t="shared" si="0"/>
        <v>1.070194232485192E-2</v>
      </c>
      <c r="E26" s="5"/>
    </row>
    <row r="27" spans="1:5" ht="15.75" customHeight="1" x14ac:dyDescent="0.3">
      <c r="C27" s="47">
        <v>613.9</v>
      </c>
      <c r="D27" s="40">
        <f t="shared" si="0"/>
        <v>-1.3038848937248937E-3</v>
      </c>
      <c r="E27" s="5"/>
    </row>
    <row r="28" spans="1:5" ht="15.75" customHeight="1" x14ac:dyDescent="0.3">
      <c r="C28" s="47">
        <v>624.13</v>
      </c>
      <c r="D28" s="40">
        <f t="shared" si="0"/>
        <v>1.5338339014952762E-2</v>
      </c>
      <c r="E28" s="5"/>
    </row>
    <row r="29" spans="1:5" ht="15.75" customHeight="1" x14ac:dyDescent="0.3">
      <c r="C29" s="47">
        <v>614.19000000000005</v>
      </c>
      <c r="D29" s="40">
        <f t="shared" si="0"/>
        <v>-8.3211119543380885E-4</v>
      </c>
      <c r="E29" s="5"/>
    </row>
    <row r="30" spans="1:5" ht="15.75" customHeight="1" x14ac:dyDescent="0.3">
      <c r="C30" s="47">
        <v>609.49</v>
      </c>
      <c r="D30" s="40">
        <f t="shared" si="0"/>
        <v>-8.4780987194597712E-3</v>
      </c>
      <c r="E30" s="5"/>
    </row>
    <row r="31" spans="1:5" ht="15.75" customHeight="1" x14ac:dyDescent="0.3">
      <c r="C31" s="47">
        <v>613.05999999999995</v>
      </c>
      <c r="D31" s="40">
        <f t="shared" si="0"/>
        <v>-2.6704018129125513E-3</v>
      </c>
      <c r="E31" s="5"/>
    </row>
    <row r="32" spans="1:5" ht="15.75" customHeight="1" x14ac:dyDescent="0.3">
      <c r="C32" s="47">
        <v>613.59</v>
      </c>
      <c r="D32" s="40">
        <f t="shared" si="0"/>
        <v>-1.8081947091392785E-3</v>
      </c>
      <c r="E32" s="5"/>
    </row>
    <row r="33" spans="1:7" ht="15.75" customHeight="1" x14ac:dyDescent="0.3">
      <c r="C33" s="47">
        <v>603.1</v>
      </c>
      <c r="D33" s="40">
        <f t="shared" si="0"/>
        <v>-1.8873388140422605E-2</v>
      </c>
      <c r="E33" s="5"/>
    </row>
    <row r="34" spans="1:7" ht="15.75" customHeight="1" x14ac:dyDescent="0.3">
      <c r="C34" s="47">
        <v>624.20000000000005</v>
      </c>
      <c r="D34" s="40">
        <f t="shared" si="0"/>
        <v>1.5452215424885144E-2</v>
      </c>
      <c r="E34" s="5"/>
    </row>
    <row r="35" spans="1:7" ht="15.75" customHeight="1" x14ac:dyDescent="0.3">
      <c r="C35" s="47">
        <v>616.46</v>
      </c>
      <c r="D35" s="40">
        <f t="shared" si="0"/>
        <v>2.8607380980850482E-3</v>
      </c>
      <c r="E35" s="5"/>
    </row>
    <row r="36" spans="1:7" ht="15.75" customHeight="1" x14ac:dyDescent="0.3">
      <c r="C36" s="47">
        <v>612.86</v>
      </c>
      <c r="D36" s="40">
        <f t="shared" si="0"/>
        <v>-2.9957629841475845E-3</v>
      </c>
      <c r="E36" s="5"/>
    </row>
    <row r="37" spans="1:7" ht="15.75" customHeight="1" x14ac:dyDescent="0.3">
      <c r="C37" s="47">
        <v>617.66</v>
      </c>
      <c r="D37" s="40">
        <f t="shared" si="0"/>
        <v>4.8129051254958023E-3</v>
      </c>
      <c r="E37" s="5"/>
    </row>
    <row r="38" spans="1:7" ht="15.75" customHeight="1" x14ac:dyDescent="0.3">
      <c r="C38" s="47">
        <v>609.80999999999995</v>
      </c>
      <c r="D38" s="40">
        <f t="shared" si="0"/>
        <v>-7.9575208454836441E-3</v>
      </c>
      <c r="E38" s="5"/>
    </row>
    <row r="39" spans="1:7" ht="15.75" customHeight="1" x14ac:dyDescent="0.3">
      <c r="C39" s="47">
        <v>610.16</v>
      </c>
      <c r="D39" s="40">
        <f t="shared" si="0"/>
        <v>-7.3881387958221051E-3</v>
      </c>
      <c r="E39" s="5"/>
    </row>
    <row r="40" spans="1:7" ht="15.75" customHeight="1" x14ac:dyDescent="0.3">
      <c r="C40" s="47">
        <v>612.23</v>
      </c>
      <c r="D40" s="40">
        <f t="shared" si="0"/>
        <v>-4.0206506735382813E-3</v>
      </c>
      <c r="E40" s="5"/>
    </row>
    <row r="41" spans="1:7" ht="15.75" customHeight="1" x14ac:dyDescent="0.3">
      <c r="C41" s="47">
        <v>606.72</v>
      </c>
      <c r="D41" s="40">
        <f t="shared" si="0"/>
        <v>-1.2984350941066489E-2</v>
      </c>
      <c r="E41" s="5"/>
    </row>
    <row r="42" spans="1:7" ht="15.75" customHeight="1" x14ac:dyDescent="0.3">
      <c r="C42" s="47">
        <v>610.25</v>
      </c>
      <c r="D42" s="40">
        <f t="shared" si="0"/>
        <v>-7.2417262687662388E-3</v>
      </c>
      <c r="E42" s="5"/>
    </row>
    <row r="43" spans="1:7" ht="16.5" customHeight="1" x14ac:dyDescent="0.3">
      <c r="C43" s="48">
        <v>613.87</v>
      </c>
      <c r="D43" s="41">
        <f t="shared" si="0"/>
        <v>-1.3526890694101209E-3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81</v>
      </c>
      <c r="C45" s="35">
        <f>SUM(C24:C44)</f>
        <v>12294.03</v>
      </c>
      <c r="D45" s="30"/>
      <c r="E45" s="6"/>
    </row>
    <row r="46" spans="1:7" ht="17.25" customHeight="1" x14ac:dyDescent="0.3">
      <c r="B46" s="34" t="s">
        <v>82</v>
      </c>
      <c r="C46" s="36">
        <f>AVERAGE(C24:C44)</f>
        <v>614.70150000000001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82</v>
      </c>
      <c r="C48" s="37" t="s">
        <v>83</v>
      </c>
      <c r="D48" s="32"/>
      <c r="G48" s="10"/>
    </row>
    <row r="49" spans="1:6" ht="17.25" customHeight="1" x14ac:dyDescent="0.3">
      <c r="B49" s="475">
        <f>C46</f>
        <v>614.70150000000001</v>
      </c>
      <c r="C49" s="45">
        <f>-IF(C46&lt;=80,10%,IF(C46&lt;250,7.5%,5%))</f>
        <v>-0.05</v>
      </c>
      <c r="D49" s="33">
        <f>IF(C46&lt;=80,C46*0.9,IF(C46&lt;250,C46*0.925,C46*0.95))</f>
        <v>583.96642499999996</v>
      </c>
    </row>
    <row r="50" spans="1:6" ht="17.25" customHeight="1" x14ac:dyDescent="0.3">
      <c r="B50" s="476"/>
      <c r="C50" s="46">
        <f>IF(C46&lt;=80, 10%, IF(C46&lt;250, 7.5%, 5%))</f>
        <v>0.05</v>
      </c>
      <c r="D50" s="33">
        <f>IF(C46&lt;=80, C46*1.1, IF(C46&lt;250, C46*1.075, C46*1.05))</f>
        <v>645.43657500000006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67</v>
      </c>
      <c r="C52" s="19"/>
      <c r="D52" s="20" t="s">
        <v>68</v>
      </c>
      <c r="E52" s="21"/>
      <c r="F52" s="20" t="s">
        <v>69</v>
      </c>
    </row>
    <row r="53" spans="1:6" ht="34.5" customHeight="1" x14ac:dyDescent="0.3">
      <c r="A53" s="22" t="s">
        <v>70</v>
      </c>
      <c r="B53" s="23"/>
      <c r="C53" s="24"/>
      <c r="D53" s="23"/>
      <c r="E53" s="13"/>
      <c r="F53" s="25"/>
    </row>
    <row r="54" spans="1:6" ht="34.5" customHeight="1" x14ac:dyDescent="0.3">
      <c r="A54" s="22" t="s">
        <v>71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82"/>
  <sheetViews>
    <sheetView view="pageBreakPreview" zoomScaleNormal="55" zoomScaleSheetLayoutView="100" workbookViewId="0">
      <selection activeCell="B75" sqref="B75"/>
    </sheetView>
  </sheetViews>
  <sheetFormatPr defaultRowHeight="13.5" x14ac:dyDescent="0.2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62"/>
  </cols>
  <sheetData>
    <row r="14" spans="1:6" ht="15" customHeight="1" x14ac:dyDescent="0.3">
      <c r="A14" s="420"/>
      <c r="C14" s="422"/>
      <c r="F14" s="422"/>
    </row>
    <row r="15" spans="1:6" ht="18.75" customHeight="1" x14ac:dyDescent="0.3">
      <c r="A15" s="483" t="s">
        <v>109</v>
      </c>
      <c r="B15" s="483"/>
      <c r="C15" s="483"/>
      <c r="D15" s="483"/>
      <c r="E15" s="483"/>
    </row>
    <row r="16" spans="1:6" ht="16.5" customHeight="1" x14ac:dyDescent="0.3">
      <c r="A16" s="423" t="s">
        <v>7</v>
      </c>
      <c r="B16" s="424" t="s">
        <v>126</v>
      </c>
    </row>
    <row r="17" spans="1:6" ht="16.5" customHeight="1" x14ac:dyDescent="0.3">
      <c r="A17" s="425" t="s">
        <v>110</v>
      </c>
      <c r="B17" s="425" t="str">
        <f>Glimepriride!B18</f>
        <v>ORINASE-MET 1.0 TABLETS</v>
      </c>
      <c r="D17" s="426"/>
      <c r="E17" s="427"/>
    </row>
    <row r="18" spans="1:6" ht="16.5" customHeight="1" x14ac:dyDescent="0.3">
      <c r="A18" s="428" t="s">
        <v>8</v>
      </c>
      <c r="B18" s="421" t="str">
        <f>Glimepriride!B26</f>
        <v>Glimepiride</v>
      </c>
      <c r="C18" s="427"/>
      <c r="D18" s="427"/>
      <c r="E18" s="427"/>
    </row>
    <row r="19" spans="1:6" ht="16.5" customHeight="1" x14ac:dyDescent="0.3">
      <c r="A19" s="428" t="s">
        <v>10</v>
      </c>
      <c r="B19" s="429">
        <f>Glimepriride!B30</f>
        <v>99.3</v>
      </c>
      <c r="C19" s="427"/>
      <c r="D19" s="427"/>
      <c r="E19" s="427"/>
    </row>
    <row r="20" spans="1:6" ht="16.5" customHeight="1" x14ac:dyDescent="0.3">
      <c r="A20" s="425" t="s">
        <v>111</v>
      </c>
      <c r="B20" s="429">
        <f>Glimepriride!D43</f>
        <v>12.07</v>
      </c>
      <c r="C20" s="427"/>
      <c r="D20" s="427"/>
      <c r="E20" s="427"/>
    </row>
    <row r="21" spans="1:6" ht="16.5" customHeight="1" x14ac:dyDescent="0.3">
      <c r="A21" s="425" t="s">
        <v>112</v>
      </c>
      <c r="B21" s="430">
        <f>B20/Glimepriride!B45</f>
        <v>9.6559999999999997E-3</v>
      </c>
      <c r="C21" s="427"/>
      <c r="D21" s="427"/>
      <c r="E21" s="427"/>
    </row>
    <row r="22" spans="1:6" ht="15.75" customHeight="1" x14ac:dyDescent="0.25">
      <c r="A22" s="427"/>
      <c r="B22" s="427" t="s">
        <v>113</v>
      </c>
      <c r="C22" s="427"/>
      <c r="D22" s="427"/>
      <c r="E22" s="427"/>
    </row>
    <row r="23" spans="1:6" ht="16.5" customHeight="1" x14ac:dyDescent="0.3">
      <c r="A23" s="431" t="s">
        <v>114</v>
      </c>
      <c r="B23" s="432" t="s">
        <v>115</v>
      </c>
      <c r="C23" s="431" t="s">
        <v>116</v>
      </c>
      <c r="D23" s="431" t="s">
        <v>117</v>
      </c>
      <c r="E23" s="432" t="s">
        <v>118</v>
      </c>
      <c r="F23" s="433"/>
    </row>
    <row r="24" spans="1:6" ht="16.5" customHeight="1" x14ac:dyDescent="0.3">
      <c r="A24" s="434">
        <v>1</v>
      </c>
      <c r="B24" s="435">
        <v>283606</v>
      </c>
      <c r="C24" s="435">
        <v>11247.9</v>
      </c>
      <c r="D24" s="436">
        <v>1.07</v>
      </c>
      <c r="E24" s="437">
        <v>6.12</v>
      </c>
      <c r="F24" s="433"/>
    </row>
    <row r="25" spans="1:6" ht="16.5" customHeight="1" x14ac:dyDescent="0.3">
      <c r="A25" s="434">
        <v>2</v>
      </c>
      <c r="B25" s="435"/>
      <c r="C25" s="435">
        <v>11313.7</v>
      </c>
      <c r="D25" s="436">
        <v>1.06</v>
      </c>
      <c r="E25" s="438">
        <v>6.12</v>
      </c>
      <c r="F25" s="433"/>
    </row>
    <row r="26" spans="1:6" ht="16.5" customHeight="1" x14ac:dyDescent="0.3">
      <c r="A26" s="434">
        <v>3</v>
      </c>
      <c r="B26" s="435">
        <v>276749</v>
      </c>
      <c r="C26" s="435">
        <v>11257.5</v>
      </c>
      <c r="D26" s="436">
        <v>1.05</v>
      </c>
      <c r="E26" s="438">
        <v>6.12</v>
      </c>
      <c r="F26" s="433"/>
    </row>
    <row r="27" spans="1:6" ht="16.5" customHeight="1" x14ac:dyDescent="0.3">
      <c r="A27" s="434">
        <v>4</v>
      </c>
      <c r="B27" s="435">
        <v>271230</v>
      </c>
      <c r="C27" s="435">
        <v>11308.4</v>
      </c>
      <c r="D27" s="436">
        <v>1.05</v>
      </c>
      <c r="E27" s="438">
        <v>6.12</v>
      </c>
      <c r="F27" s="433"/>
    </row>
    <row r="28" spans="1:6" ht="16.5" customHeight="1" x14ac:dyDescent="0.3">
      <c r="A28" s="434">
        <v>5</v>
      </c>
      <c r="B28" s="435">
        <v>276220</v>
      </c>
      <c r="C28" s="435">
        <v>11312.1</v>
      </c>
      <c r="D28" s="436">
        <v>1.05</v>
      </c>
      <c r="E28" s="438">
        <v>6.12</v>
      </c>
      <c r="F28" s="433"/>
    </row>
    <row r="29" spans="1:6" ht="16.5" customHeight="1" x14ac:dyDescent="0.3">
      <c r="A29" s="434">
        <v>6</v>
      </c>
      <c r="B29" s="439">
        <v>281126</v>
      </c>
      <c r="C29" s="439">
        <v>11249.2</v>
      </c>
      <c r="D29" s="440">
        <v>1.04</v>
      </c>
      <c r="E29" s="441">
        <v>6.12</v>
      </c>
      <c r="F29" s="433"/>
    </row>
    <row r="30" spans="1:6" ht="16.5" customHeight="1" x14ac:dyDescent="0.3">
      <c r="A30" s="442" t="s">
        <v>119</v>
      </c>
      <c r="B30" s="443">
        <f>AVERAGE(B24:B29)</f>
        <v>277786.2</v>
      </c>
      <c r="C30" s="470">
        <f>AVERAGE(C24:C29)</f>
        <v>11281.466666666667</v>
      </c>
      <c r="D30" s="444">
        <f>AVERAGE(D24:D29)</f>
        <v>1.0533333333333332</v>
      </c>
      <c r="E30" s="445">
        <f>AVERAGE(E24:E29)</f>
        <v>6.12</v>
      </c>
      <c r="F30" s="433"/>
    </row>
    <row r="31" spans="1:6" ht="16.5" customHeight="1" x14ac:dyDescent="0.3">
      <c r="A31" s="446" t="s">
        <v>120</v>
      </c>
      <c r="B31" s="447">
        <f>(STDEV(B24:B29)/B30)</f>
        <v>1.722095947481822E-2</v>
      </c>
      <c r="C31" s="448"/>
      <c r="D31" s="448"/>
      <c r="E31" s="449"/>
      <c r="F31" s="433"/>
    </row>
    <row r="32" spans="1:6" s="421" customFormat="1" ht="16.5" customHeight="1" x14ac:dyDescent="0.3">
      <c r="A32" s="450" t="s">
        <v>41</v>
      </c>
      <c r="B32" s="451">
        <f>COUNT(B24:B29)</f>
        <v>5</v>
      </c>
      <c r="C32" s="452"/>
      <c r="D32" s="453"/>
      <c r="E32" s="453"/>
      <c r="F32" s="433"/>
    </row>
    <row r="33" spans="1:5" s="421" customFormat="1" ht="15.75" customHeight="1" x14ac:dyDescent="0.25">
      <c r="A33" s="427"/>
      <c r="B33" s="427"/>
      <c r="C33" s="427"/>
      <c r="D33" s="427"/>
      <c r="E33" s="427"/>
    </row>
    <row r="34" spans="1:5" s="421" customFormat="1" ht="16.5" customHeight="1" x14ac:dyDescent="0.3">
      <c r="A34" s="428" t="s">
        <v>121</v>
      </c>
      <c r="B34" s="454" t="s">
        <v>122</v>
      </c>
      <c r="C34" s="455"/>
      <c r="D34" s="455"/>
      <c r="E34" s="455"/>
    </row>
    <row r="35" spans="1:5" ht="16.5" customHeight="1" x14ac:dyDescent="0.3">
      <c r="A35" s="428"/>
      <c r="B35" s="454" t="s">
        <v>125</v>
      </c>
      <c r="C35" s="455"/>
      <c r="D35" s="455"/>
      <c r="E35" s="455"/>
    </row>
    <row r="36" spans="1:5" ht="16.5" customHeight="1" x14ac:dyDescent="0.3">
      <c r="A36" s="428"/>
      <c r="B36" s="454" t="s">
        <v>123</v>
      </c>
      <c r="C36" s="455"/>
      <c r="D36" s="455"/>
      <c r="E36" s="455"/>
    </row>
    <row r="37" spans="1:5" ht="15.75" customHeight="1" x14ac:dyDescent="0.25">
      <c r="A37" s="427"/>
      <c r="C37" s="427"/>
      <c r="D37" s="427"/>
      <c r="E37" s="427"/>
    </row>
    <row r="38" spans="1:5" ht="16.5" customHeight="1" x14ac:dyDescent="0.3">
      <c r="A38" s="423" t="s">
        <v>7</v>
      </c>
      <c r="B38" s="424" t="s">
        <v>124</v>
      </c>
    </row>
    <row r="39" spans="1:5" ht="16.5" customHeight="1" x14ac:dyDescent="0.3">
      <c r="A39" s="428" t="s">
        <v>8</v>
      </c>
      <c r="B39" s="425" t="str">
        <f>B18</f>
        <v>Glimepiride</v>
      </c>
      <c r="C39" s="427"/>
      <c r="D39" s="427"/>
      <c r="E39" s="427"/>
    </row>
    <row r="40" spans="1:5" ht="16.5" customHeight="1" x14ac:dyDescent="0.3">
      <c r="A40" s="428" t="s">
        <v>10</v>
      </c>
      <c r="B40" s="429">
        <f>Glimepriride!B30</f>
        <v>99.3</v>
      </c>
      <c r="C40" s="427"/>
      <c r="D40" s="427"/>
      <c r="E40" s="427"/>
    </row>
    <row r="41" spans="1:5" ht="16.5" customHeight="1" x14ac:dyDescent="0.3">
      <c r="A41" s="425" t="s">
        <v>111</v>
      </c>
      <c r="B41" s="429">
        <f>Glimepriride!D96</f>
        <v>11.79</v>
      </c>
      <c r="C41" s="427"/>
      <c r="D41" s="427"/>
      <c r="E41" s="427"/>
    </row>
    <row r="42" spans="1:5" ht="16.5" customHeight="1" x14ac:dyDescent="0.3">
      <c r="A42" s="425" t="s">
        <v>112</v>
      </c>
      <c r="B42" s="430">
        <f>B41/Glimepriride!B98</f>
        <v>1.7684999999999999E-3</v>
      </c>
      <c r="C42" s="427"/>
      <c r="D42" s="427"/>
      <c r="E42" s="427"/>
    </row>
    <row r="43" spans="1:5" ht="15.75" customHeight="1" x14ac:dyDescent="0.25">
      <c r="A43" s="427"/>
      <c r="B43" s="427"/>
      <c r="C43" s="427"/>
      <c r="D43" s="427"/>
      <c r="E43" s="427"/>
    </row>
    <row r="44" spans="1:5" ht="16.5" customHeight="1" x14ac:dyDescent="0.3">
      <c r="A44" s="431" t="s">
        <v>114</v>
      </c>
      <c r="B44" s="432" t="s">
        <v>115</v>
      </c>
      <c r="C44" s="431" t="s">
        <v>116</v>
      </c>
      <c r="D44" s="431" t="s">
        <v>117</v>
      </c>
      <c r="E44" s="431" t="s">
        <v>118</v>
      </c>
    </row>
    <row r="45" spans="1:5" ht="16.5" customHeight="1" x14ac:dyDescent="0.3">
      <c r="A45" s="434">
        <v>1</v>
      </c>
      <c r="B45" s="435">
        <v>105257</v>
      </c>
      <c r="C45" s="435">
        <v>10632.97</v>
      </c>
      <c r="D45" s="436">
        <v>1.02</v>
      </c>
      <c r="E45" s="456">
        <v>6.22</v>
      </c>
    </row>
    <row r="46" spans="1:5" ht="16.5" customHeight="1" x14ac:dyDescent="0.3">
      <c r="A46" s="434">
        <v>2</v>
      </c>
      <c r="B46" s="435">
        <v>105707</v>
      </c>
      <c r="C46" s="435">
        <v>10425.01</v>
      </c>
      <c r="D46" s="436">
        <v>1.03</v>
      </c>
      <c r="E46" s="436">
        <v>6.22</v>
      </c>
    </row>
    <row r="47" spans="1:5" ht="16.5" customHeight="1" x14ac:dyDescent="0.3">
      <c r="A47" s="434">
        <v>3</v>
      </c>
      <c r="B47" s="435">
        <v>109757</v>
      </c>
      <c r="C47" s="435">
        <v>10331.57</v>
      </c>
      <c r="D47" s="436">
        <v>1.01</v>
      </c>
      <c r="E47" s="436">
        <v>6.21</v>
      </c>
    </row>
    <row r="48" spans="1:5" ht="16.5" customHeight="1" x14ac:dyDescent="0.3">
      <c r="A48" s="434">
        <v>4</v>
      </c>
      <c r="B48" s="435">
        <v>110266</v>
      </c>
      <c r="C48" s="435">
        <v>10474.120000000001</v>
      </c>
      <c r="D48" s="436">
        <v>1.03</v>
      </c>
      <c r="E48" s="436">
        <v>6.22</v>
      </c>
    </row>
    <row r="49" spans="1:5" ht="16.5" customHeight="1" x14ac:dyDescent="0.3">
      <c r="A49" s="434">
        <v>5</v>
      </c>
      <c r="B49" s="435">
        <v>133134</v>
      </c>
      <c r="C49" s="435">
        <v>9580.35</v>
      </c>
      <c r="D49" s="436">
        <v>1.05</v>
      </c>
      <c r="E49" s="436">
        <v>6.21</v>
      </c>
    </row>
    <row r="50" spans="1:5" ht="16.5" customHeight="1" x14ac:dyDescent="0.3">
      <c r="A50" s="434">
        <v>6</v>
      </c>
      <c r="B50" s="439">
        <v>121220</v>
      </c>
      <c r="C50" s="439">
        <v>9798.93</v>
      </c>
      <c r="D50" s="440">
        <v>1.03</v>
      </c>
      <c r="E50" s="440">
        <v>6.21</v>
      </c>
    </row>
    <row r="51" spans="1:5" ht="16.5" customHeight="1" x14ac:dyDescent="0.3">
      <c r="A51" s="442" t="s">
        <v>119</v>
      </c>
      <c r="B51" s="443">
        <f>AVERAGE(B45:B50)</f>
        <v>114223.5</v>
      </c>
      <c r="C51" s="445">
        <f>AVERAGE(C45:C50)</f>
        <v>10207.158333333333</v>
      </c>
      <c r="D51" s="445">
        <f>AVERAGE(D45:D50)</f>
        <v>1.0283333333333333</v>
      </c>
      <c r="E51" s="445">
        <f>AVERAGE(E45:E50)</f>
        <v>6.2149999999999999</v>
      </c>
    </row>
    <row r="52" spans="1:5" ht="16.5" customHeight="1" x14ac:dyDescent="0.3">
      <c r="A52" s="446" t="s">
        <v>120</v>
      </c>
      <c r="B52" s="447">
        <f>(STDEV(B45:B50)/B51)</f>
        <v>9.5511112941788864E-2</v>
      </c>
      <c r="C52" s="448"/>
      <c r="D52" s="448"/>
      <c r="E52" s="457"/>
    </row>
    <row r="53" spans="1:5" s="421" customFormat="1" ht="16.5" customHeight="1" x14ac:dyDescent="0.3">
      <c r="A53" s="450" t="s">
        <v>41</v>
      </c>
      <c r="B53" s="451">
        <f>COUNT(B45:B50)</f>
        <v>6</v>
      </c>
      <c r="C53" s="452"/>
      <c r="D53" s="453"/>
      <c r="E53" s="458"/>
    </row>
    <row r="54" spans="1:5" s="421" customFormat="1" ht="15.75" customHeight="1" x14ac:dyDescent="0.25">
      <c r="A54" s="427"/>
      <c r="B54" s="427"/>
      <c r="C54" s="427"/>
      <c r="D54" s="427"/>
      <c r="E54" s="427"/>
    </row>
    <row r="55" spans="1:5" s="421" customFormat="1" ht="16.5" customHeight="1" x14ac:dyDescent="0.3">
      <c r="A55" s="428" t="s">
        <v>121</v>
      </c>
      <c r="B55" s="454" t="s">
        <v>122</v>
      </c>
      <c r="C55" s="455"/>
      <c r="D55" s="455"/>
      <c r="E55" s="455"/>
    </row>
    <row r="56" spans="1:5" ht="16.5" customHeight="1" x14ac:dyDescent="0.3">
      <c r="A56" s="428"/>
      <c r="B56" s="454" t="s">
        <v>125</v>
      </c>
      <c r="C56" s="455"/>
      <c r="D56" s="455"/>
      <c r="E56" s="455"/>
    </row>
    <row r="57" spans="1:5" ht="16.5" customHeight="1" x14ac:dyDescent="0.3">
      <c r="A57" s="428"/>
      <c r="B57" s="454" t="s">
        <v>123</v>
      </c>
      <c r="C57" s="455"/>
      <c r="D57" s="455"/>
      <c r="E57" s="455"/>
    </row>
    <row r="58" spans="1:5" ht="16.5" customHeight="1" x14ac:dyDescent="0.3">
      <c r="A58" s="428"/>
      <c r="B58" s="454"/>
      <c r="C58" s="455"/>
      <c r="D58" s="455"/>
      <c r="E58" s="455"/>
    </row>
    <row r="59" spans="1:5" ht="16.5" customHeight="1" x14ac:dyDescent="0.3">
      <c r="A59" s="423" t="s">
        <v>7</v>
      </c>
      <c r="B59" s="424" t="s">
        <v>129</v>
      </c>
    </row>
    <row r="60" spans="1:5" ht="16.5" customHeight="1" x14ac:dyDescent="0.3">
      <c r="A60" s="428" t="s">
        <v>8</v>
      </c>
      <c r="B60" s="425" t="str">
        <f>B39</f>
        <v>Glimepiride</v>
      </c>
      <c r="C60" s="427"/>
      <c r="D60" s="427"/>
      <c r="E60" s="427"/>
    </row>
    <row r="61" spans="1:5" ht="16.5" customHeight="1" x14ac:dyDescent="0.3">
      <c r="A61" s="428" t="s">
        <v>10</v>
      </c>
      <c r="B61" s="429">
        <f>Glimepriride!B51</f>
        <v>0</v>
      </c>
      <c r="C61" s="427"/>
      <c r="D61" s="427"/>
      <c r="E61" s="427"/>
    </row>
    <row r="62" spans="1:5" ht="16.5" customHeight="1" x14ac:dyDescent="0.3">
      <c r="A62" s="425" t="s">
        <v>111</v>
      </c>
      <c r="B62" s="429">
        <f>'Glimepriride (Diss 2)'!D96</f>
        <v>20.03</v>
      </c>
      <c r="C62" s="427"/>
      <c r="D62" s="427"/>
      <c r="E62" s="427"/>
    </row>
    <row r="63" spans="1:5" ht="16.5" customHeight="1" x14ac:dyDescent="0.3">
      <c r="A63" s="425" t="s">
        <v>112</v>
      </c>
      <c r="B63" s="430">
        <f>B62/'Glimepriride (Diss 2)'!B98</f>
        <v>3.0045000000000002E-3</v>
      </c>
      <c r="C63" s="427"/>
      <c r="D63" s="427"/>
      <c r="E63" s="427"/>
    </row>
    <row r="64" spans="1:5" ht="16.5" customHeight="1" x14ac:dyDescent="0.25">
      <c r="A64" s="427"/>
      <c r="B64" s="427"/>
      <c r="C64" s="427"/>
      <c r="D64" s="427"/>
      <c r="E64" s="427"/>
    </row>
    <row r="65" spans="1:7" ht="16.5" customHeight="1" x14ac:dyDescent="0.3">
      <c r="A65" s="431" t="s">
        <v>114</v>
      </c>
      <c r="B65" s="432" t="s">
        <v>115</v>
      </c>
      <c r="C65" s="431" t="s">
        <v>116</v>
      </c>
      <c r="D65" s="431" t="s">
        <v>117</v>
      </c>
      <c r="E65" s="431" t="s">
        <v>118</v>
      </c>
    </row>
    <row r="66" spans="1:7" ht="16.5" customHeight="1" x14ac:dyDescent="0.3">
      <c r="A66" s="434">
        <v>1</v>
      </c>
      <c r="B66" s="435">
        <v>46083</v>
      </c>
      <c r="C66" s="435">
        <v>12374.3</v>
      </c>
      <c r="D66" s="436">
        <v>1.02</v>
      </c>
      <c r="E66" s="456">
        <v>6.44</v>
      </c>
    </row>
    <row r="67" spans="1:7" ht="16.5" customHeight="1" x14ac:dyDescent="0.3">
      <c r="A67" s="434">
        <v>2</v>
      </c>
      <c r="B67" s="435">
        <v>50715</v>
      </c>
      <c r="C67" s="435">
        <v>11881.39</v>
      </c>
      <c r="D67" s="436">
        <v>1.02</v>
      </c>
      <c r="E67" s="436">
        <v>6.43</v>
      </c>
    </row>
    <row r="68" spans="1:7" ht="16.5" customHeight="1" x14ac:dyDescent="0.3">
      <c r="A68" s="434">
        <v>3</v>
      </c>
      <c r="B68" s="435">
        <v>52139</v>
      </c>
      <c r="C68" s="435">
        <v>12819.26</v>
      </c>
      <c r="D68" s="436">
        <v>0.98</v>
      </c>
      <c r="E68" s="436">
        <v>6.44</v>
      </c>
    </row>
    <row r="69" spans="1:7" ht="16.5" customHeight="1" x14ac:dyDescent="0.3">
      <c r="A69" s="434">
        <v>4</v>
      </c>
      <c r="B69" s="435">
        <v>59089</v>
      </c>
      <c r="C69" s="435">
        <v>13637.36</v>
      </c>
      <c r="D69" s="436">
        <v>1.04</v>
      </c>
      <c r="E69" s="436">
        <v>6.43</v>
      </c>
    </row>
    <row r="70" spans="1:7" ht="16.5" customHeight="1" x14ac:dyDescent="0.3">
      <c r="A70" s="434">
        <v>5</v>
      </c>
      <c r="B70" s="435">
        <v>79445</v>
      </c>
      <c r="C70" s="435">
        <v>13676.62</v>
      </c>
      <c r="D70" s="436">
        <v>1.04</v>
      </c>
      <c r="E70" s="436">
        <v>6.43</v>
      </c>
    </row>
    <row r="71" spans="1:7" ht="16.5" customHeight="1" x14ac:dyDescent="0.3">
      <c r="A71" s="434">
        <v>6</v>
      </c>
      <c r="B71" s="439">
        <v>106001</v>
      </c>
      <c r="C71" s="439">
        <v>14229.94</v>
      </c>
      <c r="D71" s="440">
        <v>1.02</v>
      </c>
      <c r="E71" s="440">
        <v>6.43</v>
      </c>
    </row>
    <row r="72" spans="1:7" ht="16.5" customHeight="1" x14ac:dyDescent="0.3">
      <c r="A72" s="442" t="s">
        <v>119</v>
      </c>
      <c r="B72" s="443">
        <f>AVERAGE(B66:B71)</f>
        <v>65578.666666666672</v>
      </c>
      <c r="C72" s="445">
        <f>AVERAGE(C66:C71)</f>
        <v>13103.144999999999</v>
      </c>
      <c r="D72" s="445">
        <f>AVERAGE(D66:D71)</f>
        <v>1.0200000000000002</v>
      </c>
      <c r="E72" s="445">
        <f>AVERAGE(E66:E71)</f>
        <v>6.4333333333333336</v>
      </c>
    </row>
    <row r="73" spans="1:7" ht="16.5" customHeight="1" x14ac:dyDescent="0.3">
      <c r="A73" s="446" t="s">
        <v>120</v>
      </c>
      <c r="B73" s="447">
        <f>(STDEV(B66:B71)/B72)</f>
        <v>0.35105450737386679</v>
      </c>
      <c r="C73" s="448"/>
      <c r="D73" s="448"/>
      <c r="E73" s="457"/>
    </row>
    <row r="74" spans="1:7" ht="16.5" customHeight="1" x14ac:dyDescent="0.3">
      <c r="A74" s="450" t="s">
        <v>41</v>
      </c>
      <c r="B74" s="451">
        <f>COUNT(B66:B71)</f>
        <v>6</v>
      </c>
      <c r="C74" s="452"/>
      <c r="D74" s="453"/>
      <c r="E74" s="458"/>
    </row>
    <row r="75" spans="1:7" ht="16.5" customHeight="1" x14ac:dyDescent="0.25">
      <c r="A75" s="427"/>
      <c r="B75" s="427"/>
      <c r="C75" s="427"/>
      <c r="D75" s="427"/>
      <c r="E75" s="427"/>
    </row>
    <row r="76" spans="1:7" ht="16.5" customHeight="1" x14ac:dyDescent="0.3">
      <c r="A76" s="428" t="s">
        <v>121</v>
      </c>
      <c r="B76" s="454" t="s">
        <v>122</v>
      </c>
      <c r="C76" s="455"/>
      <c r="D76" s="455"/>
      <c r="E76" s="455"/>
    </row>
    <row r="77" spans="1:7" ht="16.5" customHeight="1" x14ac:dyDescent="0.3">
      <c r="A77" s="428"/>
      <c r="B77" s="454" t="s">
        <v>125</v>
      </c>
      <c r="C77" s="455"/>
      <c r="D77" s="455"/>
      <c r="E77" s="455"/>
    </row>
    <row r="78" spans="1:7" ht="16.5" customHeight="1" x14ac:dyDescent="0.3">
      <c r="A78" s="428"/>
      <c r="B78" s="454" t="s">
        <v>123</v>
      </c>
      <c r="C78" s="455"/>
      <c r="D78" s="455"/>
      <c r="E78" s="455"/>
    </row>
    <row r="79" spans="1:7" ht="14.25" customHeight="1" thickBot="1" x14ac:dyDescent="0.3">
      <c r="A79" s="459"/>
      <c r="B79" s="460"/>
      <c r="D79" s="461"/>
      <c r="F79" s="462"/>
      <c r="G79" s="462"/>
    </row>
    <row r="80" spans="1:7" ht="15" customHeight="1" x14ac:dyDescent="0.3">
      <c r="B80" s="463" t="s">
        <v>67</v>
      </c>
      <c r="C80" s="464" t="s">
        <v>68</v>
      </c>
      <c r="E80" s="464" t="s">
        <v>69</v>
      </c>
      <c r="F80" s="465"/>
    </row>
    <row r="81" spans="1:5" ht="15" customHeight="1" x14ac:dyDescent="0.3">
      <c r="A81" s="466" t="s">
        <v>70</v>
      </c>
      <c r="B81" s="467"/>
      <c r="C81" s="467"/>
      <c r="E81" s="467"/>
    </row>
    <row r="82" spans="1:5" ht="15" customHeight="1" x14ac:dyDescent="0.3">
      <c r="A82" s="466" t="s">
        <v>71</v>
      </c>
      <c r="B82" s="468"/>
      <c r="C82" s="468"/>
      <c r="E82" s="469"/>
    </row>
  </sheetData>
  <sheetProtection formatCells="0" formatColumns="0" formatRows="0" insertColumns="0" insertRows="0" insertHyperlinks="0" deleteColumns="0" deleteRows="0" sort="0" autoFilter="0" pivotTables="0"/>
  <mergeCells count="1">
    <mergeCell ref="A15:E15"/>
  </mergeCells>
  <pageMargins left="0.7" right="0.7" top="0.75" bottom="0.75" header="0.3" footer="0.3"/>
  <pageSetup scale="53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37" zoomScaleNormal="55" zoomScaleSheetLayoutView="100" workbookViewId="0">
      <selection activeCell="B54" sqref="B54"/>
    </sheetView>
  </sheetViews>
  <sheetFormatPr defaultRowHeight="13.5" x14ac:dyDescent="0.2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62"/>
  </cols>
  <sheetData>
    <row r="14" spans="1:6" ht="15" customHeight="1" x14ac:dyDescent="0.3">
      <c r="A14" s="420"/>
      <c r="C14" s="422"/>
      <c r="F14" s="422"/>
    </row>
    <row r="15" spans="1:6" ht="18.75" customHeight="1" x14ac:dyDescent="0.3">
      <c r="A15" s="483" t="s">
        <v>109</v>
      </c>
      <c r="B15" s="483"/>
      <c r="C15" s="483"/>
      <c r="D15" s="483"/>
      <c r="E15" s="483"/>
    </row>
    <row r="16" spans="1:6" ht="16.5" customHeight="1" x14ac:dyDescent="0.3">
      <c r="A16" s="423" t="s">
        <v>7</v>
      </c>
      <c r="B16" s="424" t="s">
        <v>127</v>
      </c>
    </row>
    <row r="17" spans="1:6" ht="16.5" customHeight="1" x14ac:dyDescent="0.3">
      <c r="A17" s="425" t="s">
        <v>110</v>
      </c>
      <c r="B17" s="425" t="str">
        <f>Glimepriride!B18</f>
        <v>ORINASE-MET 1.0 TABLETS</v>
      </c>
      <c r="D17" s="426"/>
      <c r="E17" s="427"/>
    </row>
    <row r="18" spans="1:6" ht="16.5" customHeight="1" x14ac:dyDescent="0.3">
      <c r="A18" s="428" t="s">
        <v>8</v>
      </c>
      <c r="B18" s="421" t="str">
        <f>'Metformin HCl'!B26:C26</f>
        <v xml:space="preserve">Metformin HCl </v>
      </c>
      <c r="C18" s="427"/>
      <c r="D18" s="427"/>
      <c r="E18" s="427"/>
    </row>
    <row r="19" spans="1:6" ht="16.5" customHeight="1" x14ac:dyDescent="0.3">
      <c r="A19" s="428" t="s">
        <v>10</v>
      </c>
      <c r="B19" s="429">
        <f>'Metformin HCl'!B30</f>
        <v>99.19</v>
      </c>
      <c r="C19" s="427"/>
      <c r="D19" s="427"/>
      <c r="E19" s="427"/>
    </row>
    <row r="20" spans="1:6" ht="16.5" customHeight="1" x14ac:dyDescent="0.3">
      <c r="A20" s="425" t="s">
        <v>111</v>
      </c>
      <c r="B20" s="429">
        <f>'Metformin HCl'!D43</f>
        <v>121.22</v>
      </c>
      <c r="C20" s="427"/>
      <c r="D20" s="427"/>
      <c r="E20" s="427"/>
    </row>
    <row r="21" spans="1:6" ht="16.5" customHeight="1" x14ac:dyDescent="0.3">
      <c r="A21" s="425" t="s">
        <v>112</v>
      </c>
      <c r="B21" s="430">
        <f>B20/'Metformin HCl'!B45</f>
        <v>4.8487999999999998</v>
      </c>
      <c r="C21" s="427"/>
      <c r="D21" s="427"/>
      <c r="E21" s="427"/>
    </row>
    <row r="22" spans="1:6" ht="15.75" customHeight="1" x14ac:dyDescent="0.25">
      <c r="A22" s="427"/>
      <c r="B22" s="427" t="s">
        <v>113</v>
      </c>
      <c r="C22" s="427"/>
      <c r="D22" s="427"/>
      <c r="E22" s="427"/>
    </row>
    <row r="23" spans="1:6" ht="16.5" customHeight="1" x14ac:dyDescent="0.3">
      <c r="A23" s="431" t="s">
        <v>114</v>
      </c>
      <c r="B23" s="432" t="s">
        <v>115</v>
      </c>
      <c r="C23" s="431" t="s">
        <v>116</v>
      </c>
      <c r="D23" s="431" t="s">
        <v>117</v>
      </c>
      <c r="E23" s="432" t="s">
        <v>118</v>
      </c>
      <c r="F23" s="433"/>
    </row>
    <row r="24" spans="1:6" ht="16.5" customHeight="1" x14ac:dyDescent="0.3">
      <c r="A24" s="434">
        <v>1</v>
      </c>
      <c r="B24" s="435">
        <v>5883166</v>
      </c>
      <c r="C24" s="435">
        <v>5757.8</v>
      </c>
      <c r="D24" s="436">
        <v>1.1399999999999999</v>
      </c>
      <c r="E24" s="437">
        <v>1.96</v>
      </c>
      <c r="F24" s="433"/>
    </row>
    <row r="25" spans="1:6" ht="16.5" customHeight="1" x14ac:dyDescent="0.3">
      <c r="A25" s="434">
        <v>2</v>
      </c>
      <c r="B25" s="435">
        <v>5881315</v>
      </c>
      <c r="C25" s="435">
        <v>5772</v>
      </c>
      <c r="D25" s="436">
        <v>1.1499999999999999</v>
      </c>
      <c r="E25" s="438">
        <v>1.96</v>
      </c>
      <c r="F25" s="433"/>
    </row>
    <row r="26" spans="1:6" ht="16.5" customHeight="1" x14ac:dyDescent="0.3">
      <c r="A26" s="434">
        <v>3</v>
      </c>
      <c r="B26" s="435">
        <v>5893406</v>
      </c>
      <c r="C26" s="435">
        <v>5792.5</v>
      </c>
      <c r="D26" s="436">
        <v>1.19</v>
      </c>
      <c r="E26" s="438">
        <v>1.96</v>
      </c>
      <c r="F26" s="433"/>
    </row>
    <row r="27" spans="1:6" ht="16.5" customHeight="1" x14ac:dyDescent="0.3">
      <c r="A27" s="434">
        <v>4</v>
      </c>
      <c r="B27" s="435">
        <v>5886738</v>
      </c>
      <c r="C27" s="435">
        <v>5737.1</v>
      </c>
      <c r="D27" s="436">
        <v>1.1399999999999999</v>
      </c>
      <c r="E27" s="438">
        <v>1.96</v>
      </c>
      <c r="F27" s="433"/>
    </row>
    <row r="28" spans="1:6" ht="16.5" customHeight="1" x14ac:dyDescent="0.3">
      <c r="A28" s="434">
        <v>5</v>
      </c>
      <c r="B28" s="435">
        <v>5890985</v>
      </c>
      <c r="C28" s="435">
        <v>5795.7</v>
      </c>
      <c r="D28" s="436">
        <v>1.1499999999999999</v>
      </c>
      <c r="E28" s="438">
        <v>1.96</v>
      </c>
      <c r="F28" s="433"/>
    </row>
    <row r="29" spans="1:6" ht="16.5" customHeight="1" x14ac:dyDescent="0.3">
      <c r="A29" s="434">
        <v>6</v>
      </c>
      <c r="B29" s="439">
        <v>5921717</v>
      </c>
      <c r="C29" s="439">
        <v>5748.9</v>
      </c>
      <c r="D29" s="440">
        <v>1.19</v>
      </c>
      <c r="E29" s="441">
        <v>1.96</v>
      </c>
      <c r="F29" s="433"/>
    </row>
    <row r="30" spans="1:6" ht="16.5" customHeight="1" x14ac:dyDescent="0.3">
      <c r="A30" s="442" t="s">
        <v>119</v>
      </c>
      <c r="B30" s="443">
        <f>AVERAGE(B24:B29)</f>
        <v>5892887.833333333</v>
      </c>
      <c r="C30" s="470">
        <f>AVERAGE(C24:C29)</f>
        <v>5767.333333333333</v>
      </c>
      <c r="D30" s="444">
        <f>AVERAGE(D24:D29)</f>
        <v>1.1599999999999999</v>
      </c>
      <c r="E30" s="445">
        <f>AVERAGE(E24:E29)</f>
        <v>1.9600000000000002</v>
      </c>
      <c r="F30" s="433"/>
    </row>
    <row r="31" spans="1:6" ht="16.5" customHeight="1" x14ac:dyDescent="0.3">
      <c r="A31" s="446" t="s">
        <v>120</v>
      </c>
      <c r="B31" s="447">
        <f>(STDEV(B24:B29)/B30)</f>
        <v>2.5184581037030001E-3</v>
      </c>
      <c r="C31" s="448"/>
      <c r="D31" s="448"/>
      <c r="E31" s="449"/>
      <c r="F31" s="433"/>
    </row>
    <row r="32" spans="1:6" s="421" customFormat="1" ht="16.5" customHeight="1" x14ac:dyDescent="0.3">
      <c r="A32" s="450" t="s">
        <v>41</v>
      </c>
      <c r="B32" s="451">
        <f>COUNT(B24:B29)</f>
        <v>6</v>
      </c>
      <c r="C32" s="452"/>
      <c r="D32" s="453"/>
      <c r="E32" s="453"/>
      <c r="F32" s="433"/>
    </row>
    <row r="33" spans="1:5" s="421" customFormat="1" ht="15.75" customHeight="1" x14ac:dyDescent="0.25">
      <c r="A33" s="427"/>
      <c r="B33" s="427"/>
      <c r="C33" s="427"/>
      <c r="D33" s="427"/>
      <c r="E33" s="427"/>
    </row>
    <row r="34" spans="1:5" s="421" customFormat="1" ht="16.5" customHeight="1" x14ac:dyDescent="0.3">
      <c r="A34" s="428" t="s">
        <v>121</v>
      </c>
      <c r="B34" s="454" t="s">
        <v>122</v>
      </c>
      <c r="C34" s="455"/>
      <c r="D34" s="455"/>
      <c r="E34" s="455"/>
    </row>
    <row r="35" spans="1:5" ht="16.5" customHeight="1" x14ac:dyDescent="0.3">
      <c r="A35" s="428"/>
      <c r="B35" s="454" t="s">
        <v>125</v>
      </c>
      <c r="C35" s="455"/>
      <c r="D35" s="455"/>
      <c r="E35" s="455"/>
    </row>
    <row r="36" spans="1:5" ht="16.5" customHeight="1" x14ac:dyDescent="0.3">
      <c r="A36" s="428"/>
      <c r="B36" s="454" t="s">
        <v>123</v>
      </c>
      <c r="C36" s="455"/>
      <c r="D36" s="455"/>
      <c r="E36" s="455"/>
    </row>
    <row r="37" spans="1:5" ht="15.75" customHeight="1" x14ac:dyDescent="0.25">
      <c r="A37" s="427"/>
      <c r="C37" s="427"/>
      <c r="D37" s="427"/>
      <c r="E37" s="427"/>
    </row>
    <row r="38" spans="1:5" ht="16.5" customHeight="1" x14ac:dyDescent="0.3">
      <c r="A38" s="423" t="s">
        <v>7</v>
      </c>
      <c r="B38" s="424" t="s">
        <v>124</v>
      </c>
    </row>
    <row r="39" spans="1:5" ht="16.5" customHeight="1" x14ac:dyDescent="0.3">
      <c r="A39" s="428" t="s">
        <v>8</v>
      </c>
      <c r="B39" s="425" t="str">
        <f>'Metformin HCl'!B79:C79</f>
        <v xml:space="preserve">Metformin HCl </v>
      </c>
      <c r="C39" s="427"/>
      <c r="D39" s="427"/>
      <c r="E39" s="427"/>
    </row>
    <row r="40" spans="1:5" ht="16.5" customHeight="1" x14ac:dyDescent="0.3">
      <c r="A40" s="428" t="s">
        <v>10</v>
      </c>
      <c r="B40" s="429">
        <f>'Metformin HCl'!B83</f>
        <v>99.19</v>
      </c>
      <c r="C40" s="427"/>
      <c r="D40" s="427"/>
      <c r="E40" s="427"/>
    </row>
    <row r="41" spans="1:5" ht="16.5" customHeight="1" x14ac:dyDescent="0.3">
      <c r="A41" s="425" t="s">
        <v>111</v>
      </c>
      <c r="B41" s="429">
        <f>'Metformin HCl'!D96</f>
        <v>19.3</v>
      </c>
      <c r="C41" s="427"/>
      <c r="D41" s="427"/>
      <c r="E41" s="427"/>
    </row>
    <row r="42" spans="1:5" ht="16.5" customHeight="1" x14ac:dyDescent="0.3">
      <c r="A42" s="425" t="s">
        <v>112</v>
      </c>
      <c r="B42" s="430">
        <f>B41/'Metformin HCl'!B98</f>
        <v>0.96500000000000008</v>
      </c>
      <c r="C42" s="427"/>
      <c r="D42" s="427"/>
      <c r="E42" s="427"/>
    </row>
    <row r="43" spans="1:5" ht="15.75" customHeight="1" x14ac:dyDescent="0.25">
      <c r="A43" s="427"/>
      <c r="B43" s="427"/>
      <c r="C43" s="427"/>
      <c r="D43" s="427"/>
      <c r="E43" s="427"/>
    </row>
    <row r="44" spans="1:5" ht="16.5" customHeight="1" x14ac:dyDescent="0.3">
      <c r="A44" s="431" t="s">
        <v>114</v>
      </c>
      <c r="B44" s="432" t="s">
        <v>115</v>
      </c>
      <c r="C44" s="431" t="s">
        <v>116</v>
      </c>
      <c r="D44" s="431" t="s">
        <v>117</v>
      </c>
      <c r="E44" s="431" t="s">
        <v>118</v>
      </c>
    </row>
    <row r="45" spans="1:5" ht="16.5" customHeight="1" x14ac:dyDescent="0.3">
      <c r="A45" s="434">
        <v>1</v>
      </c>
      <c r="B45" s="435">
        <v>1318567</v>
      </c>
      <c r="C45" s="435">
        <v>5722.24</v>
      </c>
      <c r="D45" s="436">
        <v>1.17</v>
      </c>
      <c r="E45" s="456">
        <v>1.95</v>
      </c>
    </row>
    <row r="46" spans="1:5" ht="16.5" customHeight="1" x14ac:dyDescent="0.3">
      <c r="A46" s="434">
        <v>2</v>
      </c>
      <c r="B46" s="435">
        <v>1325578</v>
      </c>
      <c r="C46" s="435">
        <v>5718.15</v>
      </c>
      <c r="D46" s="436">
        <v>1.17</v>
      </c>
      <c r="E46" s="436">
        <v>1.95</v>
      </c>
    </row>
    <row r="47" spans="1:5" ht="16.5" customHeight="1" x14ac:dyDescent="0.3">
      <c r="A47" s="434">
        <v>3</v>
      </c>
      <c r="B47" s="435">
        <v>1320897</v>
      </c>
      <c r="C47" s="435">
        <v>5692.02</v>
      </c>
      <c r="D47" s="436">
        <v>1.1399999999999999</v>
      </c>
      <c r="E47" s="436">
        <v>1.95</v>
      </c>
    </row>
    <row r="48" spans="1:5" ht="16.5" customHeight="1" x14ac:dyDescent="0.3">
      <c r="A48" s="434">
        <v>4</v>
      </c>
      <c r="B48" s="435">
        <v>1323094</v>
      </c>
      <c r="C48" s="435">
        <v>5678.59</v>
      </c>
      <c r="D48" s="436">
        <v>1.1499999999999999</v>
      </c>
      <c r="E48" s="436">
        <v>1.96</v>
      </c>
    </row>
    <row r="49" spans="1:7" ht="16.5" customHeight="1" x14ac:dyDescent="0.3">
      <c r="A49" s="434">
        <v>5</v>
      </c>
      <c r="B49" s="435">
        <v>1327901</v>
      </c>
      <c r="C49" s="435">
        <v>5721.6</v>
      </c>
      <c r="D49" s="436">
        <v>1.21</v>
      </c>
      <c r="E49" s="436">
        <v>1.95</v>
      </c>
    </row>
    <row r="50" spans="1:7" ht="16.5" customHeight="1" x14ac:dyDescent="0.3">
      <c r="A50" s="434">
        <v>6</v>
      </c>
      <c r="B50" s="439">
        <v>1324313</v>
      </c>
      <c r="C50" s="439">
        <v>5746.48</v>
      </c>
      <c r="D50" s="440">
        <v>1.1599999999999999</v>
      </c>
      <c r="E50" s="440">
        <v>1.95</v>
      </c>
    </row>
    <row r="51" spans="1:7" ht="16.5" customHeight="1" x14ac:dyDescent="0.3">
      <c r="A51" s="442" t="s">
        <v>119</v>
      </c>
      <c r="B51" s="443">
        <f>AVERAGE(B45:B50)</f>
        <v>1323391.6666666667</v>
      </c>
      <c r="C51" s="445">
        <f>AVERAGE(C45:C50)</f>
        <v>5713.18</v>
      </c>
      <c r="D51" s="445">
        <f>AVERAGE(D45:D50)</f>
        <v>1.1666666666666665</v>
      </c>
      <c r="E51" s="445">
        <f>AVERAGE(E45:E50)</f>
        <v>1.9516666666666664</v>
      </c>
    </row>
    <row r="52" spans="1:7" ht="16.5" customHeight="1" x14ac:dyDescent="0.3">
      <c r="A52" s="446" t="s">
        <v>120</v>
      </c>
      <c r="B52" s="447">
        <f>(STDEV(B45:B50)/B51)</f>
        <v>2.5187084740328769E-3</v>
      </c>
      <c r="C52" s="448"/>
      <c r="D52" s="448"/>
      <c r="E52" s="457"/>
    </row>
    <row r="53" spans="1:7" s="421" customFormat="1" ht="16.5" customHeight="1" x14ac:dyDescent="0.3">
      <c r="A53" s="450" t="s">
        <v>41</v>
      </c>
      <c r="B53" s="451">
        <f>COUNT(B45:B50)</f>
        <v>6</v>
      </c>
      <c r="C53" s="452"/>
      <c r="D53" s="453"/>
      <c r="E53" s="458"/>
    </row>
    <row r="54" spans="1:7" s="421" customFormat="1" ht="15.75" customHeight="1" x14ac:dyDescent="0.25">
      <c r="A54" s="427"/>
      <c r="B54" s="427"/>
      <c r="C54" s="427"/>
      <c r="D54" s="427"/>
      <c r="E54" s="427"/>
    </row>
    <row r="55" spans="1:7" s="421" customFormat="1" ht="16.5" customHeight="1" x14ac:dyDescent="0.3">
      <c r="A55" s="428" t="s">
        <v>121</v>
      </c>
      <c r="B55" s="454" t="s">
        <v>122</v>
      </c>
      <c r="C55" s="455"/>
      <c r="D55" s="455"/>
      <c r="E55" s="455"/>
    </row>
    <row r="56" spans="1:7" ht="16.5" customHeight="1" x14ac:dyDescent="0.3">
      <c r="A56" s="428"/>
      <c r="B56" s="454" t="s">
        <v>125</v>
      </c>
      <c r="C56" s="455"/>
      <c r="D56" s="455"/>
      <c r="E56" s="455"/>
    </row>
    <row r="57" spans="1:7" ht="16.5" customHeight="1" x14ac:dyDescent="0.3">
      <c r="A57" s="428"/>
      <c r="B57" s="454" t="s">
        <v>123</v>
      </c>
      <c r="C57" s="455"/>
      <c r="D57" s="455"/>
      <c r="E57" s="455"/>
    </row>
    <row r="58" spans="1:7" ht="14.25" customHeight="1" thickBot="1" x14ac:dyDescent="0.3">
      <c r="A58" s="459"/>
      <c r="B58" s="460"/>
      <c r="D58" s="461"/>
      <c r="F58" s="462"/>
      <c r="G58" s="462"/>
    </row>
    <row r="59" spans="1:7" ht="15" customHeight="1" x14ac:dyDescent="0.3">
      <c r="B59" s="463" t="s">
        <v>67</v>
      </c>
      <c r="C59" s="464" t="s">
        <v>68</v>
      </c>
      <c r="E59" s="464" t="s">
        <v>69</v>
      </c>
      <c r="F59" s="465"/>
    </row>
    <row r="60" spans="1:7" ht="15" customHeight="1" x14ac:dyDescent="0.3">
      <c r="A60" s="466" t="s">
        <v>70</v>
      </c>
      <c r="B60" s="467"/>
      <c r="C60" s="467"/>
      <c r="E60" s="467"/>
    </row>
    <row r="61" spans="1:7" ht="15" customHeight="1" x14ac:dyDescent="0.3">
      <c r="A61" s="466" t="s">
        <v>71</v>
      </c>
      <c r="B61" s="468"/>
      <c r="C61" s="468"/>
      <c r="E61" s="469"/>
    </row>
  </sheetData>
  <sheetProtection formatCells="0" formatColumns="0" formatRows="0" insertColumns="0" insertRows="0" insertHyperlinks="0" deleteColumns="0" deleteRows="0" sort="0" autoFilter="0" pivotTables="0"/>
  <mergeCells count="1">
    <mergeCell ref="A15:E15"/>
  </mergeCells>
  <pageMargins left="0.7" right="0.7" top="0.75" bottom="0.75" header="0.3" footer="0.3"/>
  <pageSetup scale="70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88" zoomScale="60" zoomScaleNormal="40" zoomScalePageLayoutView="55" workbookViewId="0">
      <selection activeCell="F116" sqref="F116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3">
      <c r="A1" s="512" t="s">
        <v>84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3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3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3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3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3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3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3">
      <c r="A8" s="513" t="s">
        <v>85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3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3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3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3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3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3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50"/>
    </row>
    <row r="16" spans="1:9" ht="19.5" customHeight="1" x14ac:dyDescent="0.3">
      <c r="A16" s="485" t="s">
        <v>72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3">
      <c r="A17" s="488" t="s">
        <v>0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52" t="s">
        <v>1</v>
      </c>
      <c r="B18" s="484" t="s">
        <v>74</v>
      </c>
      <c r="C18" s="484"/>
      <c r="D18" s="218"/>
      <c r="E18" s="53"/>
      <c r="F18" s="54"/>
      <c r="G18" s="54"/>
      <c r="H18" s="54"/>
    </row>
    <row r="19" spans="1:14" ht="26.25" customHeight="1" x14ac:dyDescent="0.4">
      <c r="A19" s="52" t="s">
        <v>2</v>
      </c>
      <c r="B19" s="55" t="s">
        <v>75</v>
      </c>
      <c r="C19" s="220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</v>
      </c>
      <c r="B20" s="489" t="s">
        <v>76</v>
      </c>
      <c r="C20" s="489"/>
      <c r="D20" s="54"/>
      <c r="E20" s="54"/>
      <c r="F20" s="54"/>
      <c r="G20" s="54"/>
      <c r="H20" s="54"/>
    </row>
    <row r="21" spans="1:14" ht="26.25" customHeight="1" x14ac:dyDescent="0.4">
      <c r="A21" s="52" t="s">
        <v>4</v>
      </c>
      <c r="B21" s="489" t="s">
        <v>76</v>
      </c>
      <c r="C21" s="489"/>
      <c r="D21" s="489"/>
      <c r="E21" s="489"/>
      <c r="F21" s="489"/>
      <c r="G21" s="489"/>
      <c r="H21" s="489"/>
      <c r="I21" s="56"/>
    </row>
    <row r="22" spans="1:14" ht="26.25" customHeight="1" x14ac:dyDescent="0.4">
      <c r="A22" s="52" t="s">
        <v>5</v>
      </c>
      <c r="B22" s="57" t="s">
        <v>77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6</v>
      </c>
      <c r="B23" s="57"/>
      <c r="C23" s="54"/>
      <c r="D23" s="54"/>
      <c r="E23" s="54"/>
      <c r="F23" s="54"/>
      <c r="G23" s="54"/>
      <c r="H23" s="54"/>
    </row>
    <row r="24" spans="1:14" x14ac:dyDescent="0.3">
      <c r="A24" s="52"/>
      <c r="B24" s="58"/>
    </row>
    <row r="25" spans="1:14" x14ac:dyDescent="0.3">
      <c r="A25" s="59" t="s">
        <v>7</v>
      </c>
      <c r="B25" s="58"/>
    </row>
    <row r="26" spans="1:14" ht="26.25" customHeight="1" x14ac:dyDescent="0.4">
      <c r="A26" s="60" t="s">
        <v>8</v>
      </c>
      <c r="B26" s="484" t="s">
        <v>128</v>
      </c>
      <c r="C26" s="484"/>
    </row>
    <row r="27" spans="1:14" ht="26.25" customHeight="1" x14ac:dyDescent="0.4">
      <c r="A27" s="61" t="s">
        <v>9</v>
      </c>
      <c r="B27" s="490" t="s">
        <v>108</v>
      </c>
      <c r="C27" s="490"/>
    </row>
    <row r="28" spans="1:14" ht="27" customHeight="1" x14ac:dyDescent="0.4">
      <c r="A28" s="61" t="s">
        <v>10</v>
      </c>
      <c r="B28" s="62">
        <v>99.3</v>
      </c>
    </row>
    <row r="29" spans="1:14" s="3" customFormat="1" ht="27" customHeight="1" x14ac:dyDescent="0.4">
      <c r="A29" s="61" t="s">
        <v>11</v>
      </c>
      <c r="B29" s="63">
        <v>0</v>
      </c>
      <c r="C29" s="491" t="s">
        <v>12</v>
      </c>
      <c r="D29" s="492"/>
      <c r="E29" s="492"/>
      <c r="F29" s="492"/>
      <c r="G29" s="493"/>
      <c r="I29" s="64"/>
      <c r="J29" s="64"/>
      <c r="K29" s="64"/>
      <c r="L29" s="64"/>
    </row>
    <row r="30" spans="1:14" s="3" customFormat="1" ht="19.5" customHeight="1" x14ac:dyDescent="0.3">
      <c r="A30" s="61" t="s">
        <v>13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14</v>
      </c>
      <c r="B31" s="68">
        <v>1</v>
      </c>
      <c r="C31" s="494" t="s">
        <v>86</v>
      </c>
      <c r="D31" s="495"/>
      <c r="E31" s="495"/>
      <c r="F31" s="495"/>
      <c r="G31" s="495"/>
      <c r="H31" s="496"/>
      <c r="I31" s="64"/>
      <c r="J31" s="64"/>
      <c r="K31" s="64"/>
      <c r="L31" s="64"/>
    </row>
    <row r="32" spans="1:14" s="3" customFormat="1" ht="27" customHeight="1" x14ac:dyDescent="0.4">
      <c r="A32" s="61" t="s">
        <v>15</v>
      </c>
      <c r="B32" s="68">
        <v>1</v>
      </c>
      <c r="C32" s="494" t="s">
        <v>87</v>
      </c>
      <c r="D32" s="495"/>
      <c r="E32" s="495"/>
      <c r="F32" s="495"/>
      <c r="G32" s="495"/>
      <c r="H32" s="49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x14ac:dyDescent="0.3">
      <c r="A34" s="61" t="s">
        <v>16</v>
      </c>
      <c r="B34" s="73">
        <f>B31/B32</f>
        <v>1</v>
      </c>
      <c r="C34" s="51" t="s">
        <v>17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88</v>
      </c>
      <c r="B36" s="75">
        <v>50</v>
      </c>
      <c r="C36" s="51"/>
      <c r="D36" s="497" t="s">
        <v>18</v>
      </c>
      <c r="E36" s="498"/>
      <c r="F36" s="497" t="s">
        <v>19</v>
      </c>
      <c r="G36" s="49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20</v>
      </c>
      <c r="B37" s="77">
        <v>1</v>
      </c>
      <c r="C37" s="78" t="s">
        <v>45</v>
      </c>
      <c r="D37" s="79" t="s">
        <v>21</v>
      </c>
      <c r="E37" s="80" t="s">
        <v>22</v>
      </c>
      <c r="F37" s="79" t="s">
        <v>21</v>
      </c>
      <c r="G37" s="81" t="s">
        <v>22</v>
      </c>
      <c r="I37" s="82" t="s">
        <v>89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23</v>
      </c>
      <c r="B38" s="77">
        <v>25</v>
      </c>
      <c r="C38" s="83">
        <v>1</v>
      </c>
      <c r="D38" s="84">
        <v>242529</v>
      </c>
      <c r="E38" s="85">
        <f>IF(ISBLANK(D38),"-",$D$48/$D$45*D38)</f>
        <v>252939.79980826849</v>
      </c>
      <c r="F38" s="84">
        <v>271430</v>
      </c>
      <c r="G38" s="86">
        <f>IF(ISBLANK(F38),"-",$D$48/$F$45*F38)</f>
        <v>255365.66127315722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24</v>
      </c>
      <c r="B39" s="77">
        <v>1</v>
      </c>
      <c r="C39" s="88">
        <v>2</v>
      </c>
      <c r="D39" s="89">
        <v>241542</v>
      </c>
      <c r="E39" s="90">
        <f>IF(ISBLANK(D39),"-",$D$48/$D$45*D39)</f>
        <v>251910.43184645462</v>
      </c>
      <c r="F39" s="89">
        <v>273092</v>
      </c>
      <c r="G39" s="91">
        <f>IF(ISBLANK(F39),"-",$D$48/$F$45*F39)</f>
        <v>256929.29730836331</v>
      </c>
      <c r="I39" s="501">
        <f>ABS((F43/D43*D42)-F42)/D42</f>
        <v>1.484968321559502E-2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25</v>
      </c>
      <c r="B40" s="77">
        <v>1</v>
      </c>
      <c r="C40" s="88">
        <v>3</v>
      </c>
      <c r="D40" s="89">
        <v>251272</v>
      </c>
      <c r="E40" s="90">
        <f>IF(ISBLANK(D40),"-",$D$48/$D$45*D40)</f>
        <v>262058.10182461992</v>
      </c>
      <c r="F40" s="89">
        <v>281550</v>
      </c>
      <c r="G40" s="91">
        <f>IF(ISBLANK(F40),"-",$D$48/$F$45*F40)</f>
        <v>264886.71823843132</v>
      </c>
      <c r="I40" s="501"/>
      <c r="L40" s="69"/>
      <c r="M40" s="69"/>
      <c r="N40" s="92"/>
    </row>
    <row r="41" spans="1:14" ht="27" customHeight="1" x14ac:dyDescent="0.4">
      <c r="A41" s="76" t="s">
        <v>26</v>
      </c>
      <c r="B41" s="77">
        <v>1</v>
      </c>
      <c r="C41" s="93">
        <v>4</v>
      </c>
      <c r="D41" s="94"/>
      <c r="E41" s="95"/>
      <c r="F41" s="94"/>
      <c r="G41" s="96"/>
      <c r="I41" s="97"/>
      <c r="L41" s="69"/>
      <c r="M41" s="69"/>
      <c r="N41" s="92"/>
    </row>
    <row r="42" spans="1:14" ht="27" customHeight="1" x14ac:dyDescent="0.4">
      <c r="A42" s="76" t="s">
        <v>27</v>
      </c>
      <c r="B42" s="77">
        <v>1</v>
      </c>
      <c r="C42" s="98" t="s">
        <v>28</v>
      </c>
      <c r="D42" s="99">
        <f>AVERAGE(D38:D41)</f>
        <v>245114.33333333334</v>
      </c>
      <c r="E42" s="100">
        <f>AVERAGE(E38:E41)</f>
        <v>255636.11115978099</v>
      </c>
      <c r="F42" s="99">
        <f>AVERAGE(F38:F41)</f>
        <v>275357.33333333331</v>
      </c>
      <c r="G42" s="101">
        <f>AVERAGE(G38:G41)</f>
        <v>259060.55893998395</v>
      </c>
      <c r="H42" s="102"/>
    </row>
    <row r="43" spans="1:14" ht="26.25" customHeight="1" x14ac:dyDescent="0.4">
      <c r="A43" s="76" t="s">
        <v>29</v>
      </c>
      <c r="B43" s="77">
        <v>1</v>
      </c>
      <c r="C43" s="103" t="s">
        <v>90</v>
      </c>
      <c r="D43" s="104">
        <v>12.07</v>
      </c>
      <c r="E43" s="92"/>
      <c r="F43" s="104">
        <v>13.38</v>
      </c>
      <c r="H43" s="102"/>
    </row>
    <row r="44" spans="1:14" ht="26.25" customHeight="1" x14ac:dyDescent="0.4">
      <c r="A44" s="76" t="s">
        <v>31</v>
      </c>
      <c r="B44" s="77">
        <v>1</v>
      </c>
      <c r="C44" s="105" t="s">
        <v>91</v>
      </c>
      <c r="D44" s="106">
        <f>D43*$B$34</f>
        <v>12.07</v>
      </c>
      <c r="E44" s="107"/>
      <c r="F44" s="106">
        <f>F43*$B$34</f>
        <v>13.38</v>
      </c>
      <c r="H44" s="102"/>
    </row>
    <row r="45" spans="1:14" ht="19.5" customHeight="1" x14ac:dyDescent="0.3">
      <c r="A45" s="76" t="s">
        <v>33</v>
      </c>
      <c r="B45" s="108">
        <f>(B44/B43)*(B42/B41)*(B40/B39)*(B38/B37)*B36</f>
        <v>1250</v>
      </c>
      <c r="C45" s="105" t="s">
        <v>92</v>
      </c>
      <c r="D45" s="109">
        <f>D44*$B$30/100</f>
        <v>11.98551</v>
      </c>
      <c r="E45" s="110"/>
      <c r="F45" s="109">
        <f>F44*$B$30/100</f>
        <v>13.286340000000001</v>
      </c>
      <c r="H45" s="102"/>
    </row>
    <row r="46" spans="1:14" ht="19.5" customHeight="1" x14ac:dyDescent="0.3">
      <c r="A46" s="502" t="s">
        <v>35</v>
      </c>
      <c r="B46" s="503"/>
      <c r="C46" s="105" t="s">
        <v>93</v>
      </c>
      <c r="D46" s="111">
        <f>D45/$B$45</f>
        <v>9.5884079999999997E-3</v>
      </c>
      <c r="E46" s="112"/>
      <c r="F46" s="113">
        <f>F45/$B$45</f>
        <v>1.0629072000000002E-2</v>
      </c>
      <c r="H46" s="102"/>
    </row>
    <row r="47" spans="1:14" ht="27" customHeight="1" x14ac:dyDescent="0.4">
      <c r="A47" s="504"/>
      <c r="B47" s="505"/>
      <c r="C47" s="114" t="s">
        <v>94</v>
      </c>
      <c r="D47" s="115">
        <f>1/100</f>
        <v>0.01</v>
      </c>
      <c r="E47" s="116"/>
      <c r="F47" s="112"/>
      <c r="H47" s="102"/>
    </row>
    <row r="48" spans="1:14" x14ac:dyDescent="0.3">
      <c r="C48" s="117" t="s">
        <v>37</v>
      </c>
      <c r="D48" s="109">
        <f>D47*$B$45</f>
        <v>12.5</v>
      </c>
      <c r="F48" s="118"/>
      <c r="H48" s="102"/>
    </row>
    <row r="49" spans="1:12" ht="19.5" customHeight="1" x14ac:dyDescent="0.3">
      <c r="C49" s="119" t="s">
        <v>38</v>
      </c>
      <c r="D49" s="120">
        <f>D48/B34</f>
        <v>12.5</v>
      </c>
      <c r="F49" s="118"/>
      <c r="H49" s="102"/>
    </row>
    <row r="50" spans="1:12" x14ac:dyDescent="0.3">
      <c r="C50" s="74" t="s">
        <v>39</v>
      </c>
      <c r="D50" s="121">
        <f>AVERAGE(E38:E41,G38:G41)</f>
        <v>257348.33504988244</v>
      </c>
      <c r="F50" s="122"/>
      <c r="H50" s="102"/>
    </row>
    <row r="51" spans="1:12" x14ac:dyDescent="0.3">
      <c r="C51" s="76" t="s">
        <v>40</v>
      </c>
      <c r="D51" s="123">
        <f>STDEV(E38:E41,G38:G41)/D50</f>
        <v>1.9974719486286749E-2</v>
      </c>
      <c r="F51" s="122"/>
      <c r="H51" s="102"/>
    </row>
    <row r="52" spans="1:12" ht="19.5" customHeight="1" x14ac:dyDescent="0.3">
      <c r="C52" s="124" t="s">
        <v>41</v>
      </c>
      <c r="D52" s="125">
        <f>COUNT(E38:E41,G38:G41)</f>
        <v>6</v>
      </c>
      <c r="F52" s="122"/>
    </row>
    <row r="54" spans="1:12" x14ac:dyDescent="0.3">
      <c r="A54" s="126" t="s">
        <v>7</v>
      </c>
      <c r="B54" s="127" t="s">
        <v>42</v>
      </c>
    </row>
    <row r="55" spans="1:12" x14ac:dyDescent="0.3">
      <c r="A55" s="51" t="s">
        <v>43</v>
      </c>
      <c r="B55" s="128" t="str">
        <f>B21</f>
        <v>Glimepiride 1mg, Metformin HCl 500mg</v>
      </c>
    </row>
    <row r="56" spans="1:12" ht="26.25" customHeight="1" x14ac:dyDescent="0.4">
      <c r="A56" s="129" t="s">
        <v>95</v>
      </c>
      <c r="B56" s="130">
        <v>1</v>
      </c>
      <c r="C56" s="51" t="str">
        <f>B20</f>
        <v>Glimepiride 1mg, Metformin HCl 500mg</v>
      </c>
      <c r="H56" s="131"/>
    </row>
    <row r="57" spans="1:12" x14ac:dyDescent="0.3">
      <c r="A57" s="128" t="s">
        <v>96</v>
      </c>
      <c r="B57" s="219">
        <f>Uniformity!C46</f>
        <v>614.70150000000001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97</v>
      </c>
      <c r="B59" s="75">
        <v>100</v>
      </c>
      <c r="C59" s="51"/>
      <c r="D59" s="132" t="s">
        <v>44</v>
      </c>
      <c r="E59" s="133" t="s">
        <v>45</v>
      </c>
      <c r="F59" s="133" t="s">
        <v>21</v>
      </c>
      <c r="G59" s="133" t="s">
        <v>46</v>
      </c>
      <c r="H59" s="78" t="s">
        <v>47</v>
      </c>
      <c r="L59" s="64"/>
    </row>
    <row r="60" spans="1:12" s="3" customFormat="1" ht="26.25" customHeight="1" x14ac:dyDescent="0.4">
      <c r="A60" s="76" t="s">
        <v>98</v>
      </c>
      <c r="B60" s="77">
        <v>1</v>
      </c>
      <c r="C60" s="506" t="s">
        <v>49</v>
      </c>
      <c r="D60" s="509">
        <v>621.21</v>
      </c>
      <c r="E60" s="134">
        <v>1</v>
      </c>
      <c r="F60" s="135">
        <v>272859</v>
      </c>
      <c r="G60" s="221">
        <f>IF(ISBLANK(F60),"-",(F60/$D$50*$D$47*$B$68)*($B$57/$D$60))</f>
        <v>1.0491624895206209</v>
      </c>
      <c r="H60" s="136">
        <f>IF(ISBLANK(F60),"-",G60/$B$56)</f>
        <v>1.0491624895206209</v>
      </c>
      <c r="L60" s="64"/>
    </row>
    <row r="61" spans="1:12" s="3" customFormat="1" ht="26.25" customHeight="1" x14ac:dyDescent="0.4">
      <c r="A61" s="76" t="s">
        <v>50</v>
      </c>
      <c r="B61" s="77">
        <v>1</v>
      </c>
      <c r="C61" s="507"/>
      <c r="D61" s="510"/>
      <c r="E61" s="137">
        <v>2</v>
      </c>
      <c r="F61" s="89">
        <v>273036</v>
      </c>
      <c r="G61" s="222">
        <f>IF(ISBLANK(F61),"-",(F61/$D$50*$D$47*$B$68)*($B$57/$D$60))</f>
        <v>1.0498430672572729</v>
      </c>
      <c r="H61" s="138">
        <f>IF(ISBLANK(F61),"-",G61/$B$56)</f>
        <v>1.0498430672572729</v>
      </c>
      <c r="L61" s="64"/>
    </row>
    <row r="62" spans="1:12" s="3" customFormat="1" ht="26.25" customHeight="1" x14ac:dyDescent="0.4">
      <c r="A62" s="76" t="s">
        <v>51</v>
      </c>
      <c r="B62" s="77">
        <v>1</v>
      </c>
      <c r="C62" s="507"/>
      <c r="D62" s="510"/>
      <c r="E62" s="137">
        <v>3</v>
      </c>
      <c r="F62" s="139"/>
      <c r="G62" s="406" t="str">
        <f>IF(ISBLANK(F62),"-",(F62/$D$50*$D$47*$B$68)*($B$57/$D$60))</f>
        <v>-</v>
      </c>
      <c r="H62" s="318" t="str">
        <f t="shared" ref="H62" si="0">IF(ISBLANK(F62),"-",G62/$B$56)</f>
        <v>-</v>
      </c>
      <c r="L62" s="64"/>
    </row>
    <row r="63" spans="1:12" ht="27" customHeight="1" x14ac:dyDescent="0.4">
      <c r="A63" s="76" t="s">
        <v>52</v>
      </c>
      <c r="B63" s="77">
        <v>1</v>
      </c>
      <c r="C63" s="508"/>
      <c r="D63" s="511"/>
      <c r="E63" s="140">
        <v>4</v>
      </c>
      <c r="F63" s="141"/>
      <c r="G63" s="222"/>
      <c r="H63" s="138"/>
    </row>
    <row r="64" spans="1:12" ht="26.25" customHeight="1" x14ac:dyDescent="0.4">
      <c r="A64" s="76" t="s">
        <v>53</v>
      </c>
      <c r="B64" s="77">
        <v>1</v>
      </c>
      <c r="C64" s="506" t="s">
        <v>54</v>
      </c>
      <c r="D64" s="509">
        <v>605.01</v>
      </c>
      <c r="E64" s="134">
        <v>1</v>
      </c>
      <c r="F64" s="135">
        <v>266554</v>
      </c>
      <c r="G64" s="223">
        <f>IF(ISBLANK(F64),"-",(F64/$D$50*$D$47*$B$68)*($B$57/$D$64))</f>
        <v>1.0523629775970003</v>
      </c>
      <c r="H64" s="142">
        <f>IF(ISBLANK(F64),"-",G64/$B$56)</f>
        <v>1.0523629775970003</v>
      </c>
    </row>
    <row r="65" spans="1:8" ht="26.25" customHeight="1" x14ac:dyDescent="0.4">
      <c r="A65" s="76" t="s">
        <v>55</v>
      </c>
      <c r="B65" s="77">
        <v>1</v>
      </c>
      <c r="C65" s="507"/>
      <c r="D65" s="510"/>
      <c r="E65" s="137">
        <v>2</v>
      </c>
      <c r="F65" s="89">
        <v>268077</v>
      </c>
      <c r="G65" s="224">
        <f>IF(ISBLANK(F65),"-",(F65/$D$50*$D$47*$B$68)*($B$57/$D$64))</f>
        <v>1.0583758260812857</v>
      </c>
      <c r="H65" s="143">
        <f t="shared" ref="H65:H68" si="1">IF(ISBLANK(F65),"-",G65/$B$56)</f>
        <v>1.0583758260812857</v>
      </c>
    </row>
    <row r="66" spans="1:8" ht="26.25" customHeight="1" x14ac:dyDescent="0.4">
      <c r="A66" s="76" t="s">
        <v>56</v>
      </c>
      <c r="B66" s="77">
        <v>1</v>
      </c>
      <c r="C66" s="507"/>
      <c r="D66" s="510"/>
      <c r="E66" s="137">
        <v>3</v>
      </c>
      <c r="F66" s="89">
        <v>273219</v>
      </c>
      <c r="G66" s="224">
        <f>IF(ISBLANK(F66),"-",(F66/$D$50*$D$47*$B$68)*($B$57/$D$64))</f>
        <v>1.0786765922705148</v>
      </c>
      <c r="H66" s="143">
        <f t="shared" si="1"/>
        <v>1.0786765922705148</v>
      </c>
    </row>
    <row r="67" spans="1:8" ht="27" customHeight="1" x14ac:dyDescent="0.4">
      <c r="A67" s="76" t="s">
        <v>57</v>
      </c>
      <c r="B67" s="77">
        <v>1</v>
      </c>
      <c r="C67" s="508"/>
      <c r="D67" s="511"/>
      <c r="E67" s="140">
        <v>4</v>
      </c>
      <c r="F67" s="141"/>
      <c r="G67" s="225"/>
      <c r="H67" s="144"/>
    </row>
    <row r="68" spans="1:8" ht="26.25" customHeight="1" x14ac:dyDescent="0.4">
      <c r="A68" s="76" t="s">
        <v>58</v>
      </c>
      <c r="B68" s="145">
        <f>(B67/B66)*(B65/B64)*(B63/B62)*(B61/B60)*B59</f>
        <v>100</v>
      </c>
      <c r="C68" s="506" t="s">
        <v>59</v>
      </c>
      <c r="D68" s="509">
        <v>611.54999999999995</v>
      </c>
      <c r="E68" s="134">
        <v>1</v>
      </c>
      <c r="F68" s="135">
        <v>264763</v>
      </c>
      <c r="G68" s="223">
        <f>IF(ISBLANK(F68),"-",(F68/$D$50*$D$47*$B$68)*($B$57/$D$68))</f>
        <v>1.0341135599344728</v>
      </c>
      <c r="H68" s="138">
        <f t="shared" si="1"/>
        <v>1.0341135599344728</v>
      </c>
    </row>
    <row r="69" spans="1:8" ht="27" customHeight="1" x14ac:dyDescent="0.4">
      <c r="A69" s="124" t="s">
        <v>60</v>
      </c>
      <c r="B69" s="146">
        <f>(D47*B68)/B56*B57</f>
        <v>614.70150000000001</v>
      </c>
      <c r="C69" s="507"/>
      <c r="D69" s="510"/>
      <c r="E69" s="137">
        <v>2</v>
      </c>
      <c r="F69" s="89">
        <v>266755</v>
      </c>
      <c r="G69" s="224">
        <f>IF(ISBLANK(F69),"-",(F69/$D$50*$D$47*$B$68)*($B$57/$D$68))</f>
        <v>1.0418939303464618</v>
      </c>
      <c r="H69" s="138">
        <f>IF(ISBLANK(F69),"-",G69/$B$56)</f>
        <v>1.0418939303464618</v>
      </c>
    </row>
    <row r="70" spans="1:8" ht="26.25" customHeight="1" x14ac:dyDescent="0.4">
      <c r="A70" s="519" t="s">
        <v>35</v>
      </c>
      <c r="B70" s="520"/>
      <c r="C70" s="507"/>
      <c r="D70" s="510"/>
      <c r="E70" s="137">
        <v>3</v>
      </c>
      <c r="F70" s="89">
        <v>273063</v>
      </c>
      <c r="G70" s="224">
        <f>IF(ISBLANK(F70),"-",(F70/$D$50*$D$47*$B$68)*($B$57/$D$68))</f>
        <v>1.0665317699844274</v>
      </c>
      <c r="H70" s="138">
        <f>IF(ISBLANK(F70),"-",G70/$B$56)</f>
        <v>1.0665317699844274</v>
      </c>
    </row>
    <row r="71" spans="1:8" ht="27" customHeight="1" x14ac:dyDescent="0.4">
      <c r="A71" s="521"/>
      <c r="B71" s="522"/>
      <c r="C71" s="518"/>
      <c r="D71" s="511"/>
      <c r="E71" s="140">
        <v>4</v>
      </c>
      <c r="F71" s="141"/>
      <c r="G71" s="225"/>
      <c r="H71" s="147"/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28</v>
      </c>
      <c r="H72" s="151">
        <f>AVERAGE(H60:H71)</f>
        <v>1.0538700266240071</v>
      </c>
    </row>
    <row r="73" spans="1:8" ht="26.25" customHeight="1" x14ac:dyDescent="0.4">
      <c r="C73" s="148"/>
      <c r="D73" s="148"/>
      <c r="E73" s="148"/>
      <c r="F73" s="149"/>
      <c r="G73" s="152" t="s">
        <v>40</v>
      </c>
      <c r="H73" s="226">
        <f>STDEV(H60:H71)/H72</f>
        <v>1.3276530485812692E-2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41</v>
      </c>
      <c r="H74" s="155">
        <f>COUNT(H60:H71)</f>
        <v>8</v>
      </c>
    </row>
    <row r="76" spans="1:8" ht="26.25" customHeight="1" x14ac:dyDescent="0.4">
      <c r="A76" s="60" t="s">
        <v>99</v>
      </c>
      <c r="B76" s="156" t="s">
        <v>100</v>
      </c>
      <c r="C76" s="514" t="str">
        <f>B20</f>
        <v>Glimepiride 1mg, Metformin HCl 500mg</v>
      </c>
      <c r="D76" s="514"/>
      <c r="E76" s="157" t="s">
        <v>101</v>
      </c>
      <c r="F76" s="157"/>
      <c r="G76" s="158">
        <f>H72</f>
        <v>1.0538700266240071</v>
      </c>
      <c r="H76" s="159"/>
    </row>
    <row r="77" spans="1:8" x14ac:dyDescent="0.3">
      <c r="A77" s="59" t="s">
        <v>102</v>
      </c>
      <c r="B77" s="59" t="s">
        <v>61</v>
      </c>
    </row>
    <row r="78" spans="1:8" x14ac:dyDescent="0.3">
      <c r="A78" s="59"/>
      <c r="B78" s="59"/>
    </row>
    <row r="79" spans="1:8" ht="26.25" customHeight="1" x14ac:dyDescent="0.4">
      <c r="A79" s="60" t="s">
        <v>8</v>
      </c>
      <c r="B79" s="500" t="str">
        <f>B26</f>
        <v>Glimepiride</v>
      </c>
      <c r="C79" s="500"/>
    </row>
    <row r="80" spans="1:8" ht="26.25" customHeight="1" x14ac:dyDescent="0.4">
      <c r="A80" s="61" t="s">
        <v>9</v>
      </c>
      <c r="B80" s="500" t="str">
        <f>B27</f>
        <v>G</v>
      </c>
      <c r="C80" s="500"/>
    </row>
    <row r="81" spans="1:12" ht="27" customHeight="1" x14ac:dyDescent="0.4">
      <c r="A81" s="61" t="s">
        <v>10</v>
      </c>
      <c r="B81" s="160">
        <f>B28</f>
        <v>99.3</v>
      </c>
    </row>
    <row r="82" spans="1:12" s="3" customFormat="1" ht="27" customHeight="1" x14ac:dyDescent="0.4">
      <c r="A82" s="61" t="s">
        <v>11</v>
      </c>
      <c r="B82" s="63">
        <v>0</v>
      </c>
      <c r="C82" s="491" t="s">
        <v>12</v>
      </c>
      <c r="D82" s="492"/>
      <c r="E82" s="492"/>
      <c r="F82" s="492"/>
      <c r="G82" s="493"/>
      <c r="I82" s="64"/>
      <c r="J82" s="64"/>
      <c r="K82" s="64"/>
      <c r="L82" s="64"/>
    </row>
    <row r="83" spans="1:12" s="3" customFormat="1" ht="19.5" customHeight="1" x14ac:dyDescent="0.3">
      <c r="A83" s="61" t="s">
        <v>13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14</v>
      </c>
      <c r="B84" s="68">
        <v>1</v>
      </c>
      <c r="C84" s="494" t="s">
        <v>103</v>
      </c>
      <c r="D84" s="495"/>
      <c r="E84" s="495"/>
      <c r="F84" s="495"/>
      <c r="G84" s="495"/>
      <c r="H84" s="496"/>
      <c r="I84" s="64"/>
      <c r="J84" s="64"/>
      <c r="K84" s="64"/>
      <c r="L84" s="64"/>
    </row>
    <row r="85" spans="1:12" s="3" customFormat="1" ht="27" customHeight="1" x14ac:dyDescent="0.4">
      <c r="A85" s="61" t="s">
        <v>15</v>
      </c>
      <c r="B85" s="68">
        <v>1</v>
      </c>
      <c r="C85" s="494" t="s">
        <v>104</v>
      </c>
      <c r="D85" s="495"/>
      <c r="E85" s="495"/>
      <c r="F85" s="495"/>
      <c r="G85" s="495"/>
      <c r="H85" s="496"/>
      <c r="I85" s="64"/>
      <c r="J85" s="64"/>
      <c r="K85" s="64"/>
      <c r="L85" s="64"/>
    </row>
    <row r="86" spans="1:12" s="3" customFormat="1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x14ac:dyDescent="0.3">
      <c r="A87" s="61" t="s">
        <v>16</v>
      </c>
      <c r="B87" s="73">
        <f>B84/B85</f>
        <v>1</v>
      </c>
      <c r="C87" s="51" t="s">
        <v>17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88</v>
      </c>
      <c r="B89" s="75">
        <v>50</v>
      </c>
      <c r="D89" s="161" t="s">
        <v>18</v>
      </c>
      <c r="E89" s="162"/>
      <c r="F89" s="497" t="s">
        <v>19</v>
      </c>
      <c r="G89" s="499"/>
    </row>
    <row r="90" spans="1:12" ht="27" customHeight="1" x14ac:dyDescent="0.4">
      <c r="A90" s="76" t="s">
        <v>20</v>
      </c>
      <c r="B90" s="77">
        <v>3</v>
      </c>
      <c r="C90" s="163" t="s">
        <v>45</v>
      </c>
      <c r="D90" s="79" t="s">
        <v>21</v>
      </c>
      <c r="E90" s="80" t="s">
        <v>22</v>
      </c>
      <c r="F90" s="79" t="s">
        <v>21</v>
      </c>
      <c r="G90" s="164" t="s">
        <v>22</v>
      </c>
      <c r="I90" s="82" t="s">
        <v>89</v>
      </c>
    </row>
    <row r="91" spans="1:12" ht="26.25" customHeight="1" x14ac:dyDescent="0.4">
      <c r="A91" s="76" t="s">
        <v>23</v>
      </c>
      <c r="B91" s="77">
        <v>20</v>
      </c>
      <c r="C91" s="165">
        <v>1</v>
      </c>
      <c r="D91" s="264">
        <v>70652</v>
      </c>
      <c r="E91" s="85">
        <f>IF(ISBLANK(D91),"-",$D$101/$D$98*D91)</f>
        <v>80463.726720347506</v>
      </c>
      <c r="F91" s="264">
        <v>55520</v>
      </c>
      <c r="G91" s="86">
        <f>IF(ISBLANK(F91),"-",$D$101/$F$98*F91)</f>
        <v>53248.933007241169</v>
      </c>
      <c r="I91" s="87"/>
    </row>
    <row r="92" spans="1:12" ht="26.25" customHeight="1" x14ac:dyDescent="0.4">
      <c r="A92" s="76" t="s">
        <v>24</v>
      </c>
      <c r="B92" s="77">
        <v>1</v>
      </c>
      <c r="C92" s="149">
        <v>2</v>
      </c>
      <c r="D92" s="269">
        <v>55561</v>
      </c>
      <c r="E92" s="90">
        <f>IF(ISBLANK(D92),"-",$D$101/$D$98*D92)</f>
        <v>63276.979000017382</v>
      </c>
      <c r="F92" s="269">
        <v>58919</v>
      </c>
      <c r="G92" s="91">
        <f>IF(ISBLANK(F92),"-",$D$101/$F$98*F92)</f>
        <v>56508.895602551194</v>
      </c>
      <c r="I92" s="501">
        <f>ABS((F96/D96*D95)-F95)/D95</f>
        <v>0.26516942706205998</v>
      </c>
    </row>
    <row r="93" spans="1:12" ht="26.25" customHeight="1" x14ac:dyDescent="0.4">
      <c r="A93" s="76" t="s">
        <v>25</v>
      </c>
      <c r="B93" s="77">
        <v>20</v>
      </c>
      <c r="C93" s="149">
        <v>3</v>
      </c>
      <c r="D93" s="269">
        <v>61918</v>
      </c>
      <c r="E93" s="270">
        <f>IF(ISBLANK(D93),"-",$D$101/$D$98*D93)</f>
        <v>70516.801096507916</v>
      </c>
      <c r="F93" s="269">
        <v>59070</v>
      </c>
      <c r="G93" s="271">
        <f>IF(ISBLANK(F93),"-",$D$101/$F$98*F93)</f>
        <v>56653.718889368436</v>
      </c>
      <c r="I93" s="501"/>
    </row>
    <row r="94" spans="1:12" ht="27" customHeight="1" x14ac:dyDescent="0.4">
      <c r="A94" s="76" t="s">
        <v>26</v>
      </c>
      <c r="B94" s="77">
        <v>1</v>
      </c>
      <c r="C94" s="166">
        <v>4</v>
      </c>
      <c r="D94" s="274"/>
      <c r="E94" s="95"/>
      <c r="F94" s="347"/>
      <c r="G94" s="96"/>
      <c r="I94" s="97"/>
    </row>
    <row r="95" spans="1:12" ht="27" customHeight="1" x14ac:dyDescent="0.4">
      <c r="A95" s="76" t="s">
        <v>27</v>
      </c>
      <c r="B95" s="77">
        <v>1</v>
      </c>
      <c r="C95" s="167" t="s">
        <v>28</v>
      </c>
      <c r="D95" s="168">
        <f>AVERAGE(D91:D94)</f>
        <v>62710.333333333336</v>
      </c>
      <c r="E95" s="100">
        <f>AVERAGE(E91:E94)</f>
        <v>71419.168938957606</v>
      </c>
      <c r="F95" s="169">
        <f>AVERAGE(F91:F94)</f>
        <v>57836.333333333336</v>
      </c>
      <c r="G95" s="170">
        <f>AVERAGE(G91:G94)</f>
        <v>55470.5158330536</v>
      </c>
    </row>
    <row r="96" spans="1:12" ht="26.25" customHeight="1" x14ac:dyDescent="0.4">
      <c r="A96" s="76" t="s">
        <v>29</v>
      </c>
      <c r="B96" s="62">
        <v>1</v>
      </c>
      <c r="C96" s="171" t="s">
        <v>30</v>
      </c>
      <c r="D96" s="172">
        <v>11.79</v>
      </c>
      <c r="E96" s="92"/>
      <c r="F96" s="471">
        <v>14</v>
      </c>
    </row>
    <row r="97" spans="1:10" ht="26.25" customHeight="1" x14ac:dyDescent="0.4">
      <c r="A97" s="76" t="s">
        <v>31</v>
      </c>
      <c r="B97" s="62">
        <v>1</v>
      </c>
      <c r="C97" s="173" t="s">
        <v>32</v>
      </c>
      <c r="D97" s="174">
        <f>D96*$B$87</f>
        <v>11.79</v>
      </c>
      <c r="E97" s="107"/>
      <c r="F97" s="106">
        <f>F96*$B$87</f>
        <v>14</v>
      </c>
    </row>
    <row r="98" spans="1:10" ht="19.5" customHeight="1" x14ac:dyDescent="0.3">
      <c r="A98" s="76" t="s">
        <v>33</v>
      </c>
      <c r="B98" s="175">
        <f>(B97/B96)*(B95/B94)*(B93/B92)*(B91/B90)*B89</f>
        <v>6666.666666666667</v>
      </c>
      <c r="C98" s="173" t="s">
        <v>34</v>
      </c>
      <c r="D98" s="176">
        <f>D97*$B$83/100</f>
        <v>11.707469999999999</v>
      </c>
      <c r="E98" s="110"/>
      <c r="F98" s="109">
        <f>F97*$B$83/100</f>
        <v>13.902000000000001</v>
      </c>
    </row>
    <row r="99" spans="1:10" ht="19.5" customHeight="1" x14ac:dyDescent="0.3">
      <c r="A99" s="502" t="s">
        <v>35</v>
      </c>
      <c r="B99" s="516"/>
      <c r="C99" s="173" t="s">
        <v>36</v>
      </c>
      <c r="D99" s="177">
        <f>D98/$B$98</f>
        <v>1.7561204999999999E-3</v>
      </c>
      <c r="E99" s="110"/>
      <c r="F99" s="113">
        <f>F98/$B$98</f>
        <v>2.0853E-3</v>
      </c>
      <c r="G99" s="178"/>
      <c r="H99" s="102"/>
    </row>
    <row r="100" spans="1:10" ht="19.5" customHeight="1" x14ac:dyDescent="0.3">
      <c r="A100" s="504"/>
      <c r="B100" s="517"/>
      <c r="C100" s="173" t="s">
        <v>94</v>
      </c>
      <c r="D100" s="179">
        <f>1/500</f>
        <v>2E-3</v>
      </c>
      <c r="F100" s="118"/>
      <c r="G100" s="180"/>
      <c r="H100" s="102"/>
    </row>
    <row r="101" spans="1:10" x14ac:dyDescent="0.3">
      <c r="C101" s="173" t="s">
        <v>37</v>
      </c>
      <c r="D101" s="174">
        <f>D100*$B$98</f>
        <v>13.333333333333334</v>
      </c>
      <c r="F101" s="118"/>
      <c r="G101" s="178"/>
      <c r="H101" s="102"/>
    </row>
    <row r="102" spans="1:10" ht="19.5" customHeight="1" x14ac:dyDescent="0.3">
      <c r="C102" s="181" t="s">
        <v>38</v>
      </c>
      <c r="D102" s="182">
        <f>D101/B34</f>
        <v>13.333333333333334</v>
      </c>
      <c r="F102" s="122"/>
      <c r="G102" s="178"/>
      <c r="H102" s="102"/>
      <c r="J102" s="183"/>
    </row>
    <row r="103" spans="1:10" x14ac:dyDescent="0.3">
      <c r="C103" s="184" t="s">
        <v>62</v>
      </c>
      <c r="D103" s="185">
        <f>AVERAGE(E91:E94,G91:G94)</f>
        <v>63444.842386005599</v>
      </c>
      <c r="F103" s="122"/>
      <c r="G103" s="186"/>
      <c r="H103" s="102"/>
      <c r="J103" s="187"/>
    </row>
    <row r="104" spans="1:10" x14ac:dyDescent="0.3">
      <c r="C104" s="152" t="s">
        <v>40</v>
      </c>
      <c r="D104" s="188">
        <f>STDEV(E91:E94,G91:G94)/D103</f>
        <v>0.16347672075444805</v>
      </c>
      <c r="F104" s="122"/>
      <c r="G104" s="178"/>
      <c r="H104" s="102"/>
      <c r="J104" s="187"/>
    </row>
    <row r="105" spans="1:10" ht="19.5" customHeight="1" x14ac:dyDescent="0.3">
      <c r="C105" s="154" t="s">
        <v>41</v>
      </c>
      <c r="D105" s="189">
        <f>COUNT(E91:E94,G91:G94)</f>
        <v>6</v>
      </c>
      <c r="F105" s="122"/>
      <c r="G105" s="178"/>
      <c r="H105" s="102"/>
      <c r="J105" s="187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63</v>
      </c>
      <c r="B107" s="75">
        <v>500</v>
      </c>
      <c r="C107" s="190" t="s">
        <v>64</v>
      </c>
      <c r="D107" s="191" t="s">
        <v>21</v>
      </c>
      <c r="E107" s="192" t="s">
        <v>65</v>
      </c>
      <c r="F107" s="193" t="s">
        <v>66</v>
      </c>
    </row>
    <row r="108" spans="1:10" ht="26.25" customHeight="1" x14ac:dyDescent="0.4">
      <c r="A108" s="76" t="s">
        <v>48</v>
      </c>
      <c r="B108" s="77">
        <v>1</v>
      </c>
      <c r="C108" s="194">
        <v>1</v>
      </c>
      <c r="D108" s="376">
        <v>52584</v>
      </c>
      <c r="E108" s="227">
        <f t="shared" ref="E108:E113" si="2">IF(ISBLANK(D108),"-",D108/$D$103*$D$100*$B$116)</f>
        <v>0.82881441615179674</v>
      </c>
      <c r="F108" s="195">
        <f t="shared" ref="F108:F113" si="3">IF(ISBLANK(D108), "-", E108/$B$56)</f>
        <v>0.82881441615179674</v>
      </c>
    </row>
    <row r="109" spans="1:10" ht="26.25" customHeight="1" x14ac:dyDescent="0.4">
      <c r="A109" s="76" t="s">
        <v>50</v>
      </c>
      <c r="B109" s="77">
        <v>1</v>
      </c>
      <c r="C109" s="194">
        <v>2</v>
      </c>
      <c r="D109" s="376">
        <v>60121</v>
      </c>
      <c r="E109" s="228">
        <f t="shared" si="2"/>
        <v>0.94761051866465418</v>
      </c>
      <c r="F109" s="196">
        <f t="shared" si="3"/>
        <v>0.94761051866465418</v>
      </c>
    </row>
    <row r="110" spans="1:10" ht="26.25" customHeight="1" x14ac:dyDescent="0.4">
      <c r="A110" s="76" t="s">
        <v>51</v>
      </c>
      <c r="B110" s="77">
        <v>1</v>
      </c>
      <c r="C110" s="194">
        <v>3</v>
      </c>
      <c r="D110" s="376">
        <v>61116</v>
      </c>
      <c r="E110" s="228">
        <f t="shared" si="2"/>
        <v>0.96329343255616184</v>
      </c>
      <c r="F110" s="196">
        <f t="shared" si="3"/>
        <v>0.96329343255616184</v>
      </c>
    </row>
    <row r="111" spans="1:10" ht="26.25" customHeight="1" x14ac:dyDescent="0.4">
      <c r="A111" s="76" t="s">
        <v>52</v>
      </c>
      <c r="B111" s="77">
        <v>1</v>
      </c>
      <c r="C111" s="194">
        <v>4</v>
      </c>
      <c r="D111" s="376">
        <v>58551</v>
      </c>
      <c r="E111" s="228">
        <f t="shared" si="2"/>
        <v>0.92286461433333056</v>
      </c>
      <c r="F111" s="196">
        <f t="shared" si="3"/>
        <v>0.92286461433333056</v>
      </c>
    </row>
    <row r="112" spans="1:10" ht="26.25" customHeight="1" x14ac:dyDescent="0.4">
      <c r="A112" s="76" t="s">
        <v>53</v>
      </c>
      <c r="B112" s="77">
        <v>1</v>
      </c>
      <c r="C112" s="194">
        <v>5</v>
      </c>
      <c r="D112" s="376">
        <v>59439</v>
      </c>
      <c r="E112" s="228">
        <f t="shared" si="2"/>
        <v>0.93686102391690718</v>
      </c>
      <c r="F112" s="196">
        <f t="shared" si="3"/>
        <v>0.93686102391690718</v>
      </c>
    </row>
    <row r="113" spans="1:10" ht="26.25" customHeight="1" x14ac:dyDescent="0.4">
      <c r="A113" s="76" t="s">
        <v>55</v>
      </c>
      <c r="B113" s="77">
        <v>1</v>
      </c>
      <c r="C113" s="197">
        <v>6</v>
      </c>
      <c r="D113" s="380">
        <v>57908</v>
      </c>
      <c r="E113" s="229">
        <f t="shared" si="2"/>
        <v>0.91272982676324066</v>
      </c>
      <c r="F113" s="198">
        <f t="shared" si="3"/>
        <v>0.91272982676324066</v>
      </c>
    </row>
    <row r="114" spans="1:10" ht="26.25" customHeight="1" x14ac:dyDescent="0.4">
      <c r="A114" s="76" t="s">
        <v>56</v>
      </c>
      <c r="B114" s="77">
        <v>1</v>
      </c>
      <c r="C114" s="194"/>
      <c r="D114" s="149"/>
      <c r="E114" s="50"/>
      <c r="F114" s="199"/>
    </row>
    <row r="115" spans="1:10" ht="26.25" customHeight="1" x14ac:dyDescent="0.4">
      <c r="A115" s="76" t="s">
        <v>57</v>
      </c>
      <c r="B115" s="77">
        <v>1</v>
      </c>
      <c r="C115" s="194"/>
      <c r="D115" s="200"/>
      <c r="E115" s="201" t="s">
        <v>28</v>
      </c>
      <c r="F115" s="202">
        <f>AVERAGE(F108:F113)</f>
        <v>0.91869563873101523</v>
      </c>
    </row>
    <row r="116" spans="1:10" ht="27" customHeight="1" x14ac:dyDescent="0.4">
      <c r="A116" s="76" t="s">
        <v>58</v>
      </c>
      <c r="B116" s="108">
        <f>(B115/B114)*(B113/B112)*(B111/B110)*(B109/B108)*B107</f>
        <v>500</v>
      </c>
      <c r="C116" s="203"/>
      <c r="D116" s="204"/>
      <c r="E116" s="167" t="s">
        <v>40</v>
      </c>
      <c r="F116" s="473">
        <f>STDEV(F108:F113)/F115</f>
        <v>5.1716044188553696E-2</v>
      </c>
      <c r="I116" s="50"/>
    </row>
    <row r="117" spans="1:10" ht="27" customHeight="1" x14ac:dyDescent="0.4">
      <c r="A117" s="502" t="s">
        <v>35</v>
      </c>
      <c r="B117" s="503"/>
      <c r="C117" s="205"/>
      <c r="D117" s="206"/>
      <c r="E117" s="207" t="s">
        <v>41</v>
      </c>
      <c r="F117" s="208">
        <f>COUNT(F108:F113)</f>
        <v>6</v>
      </c>
      <c r="I117" s="50"/>
      <c r="J117" s="187"/>
    </row>
    <row r="118" spans="1:10" ht="19.5" customHeight="1" x14ac:dyDescent="0.3">
      <c r="A118" s="504"/>
      <c r="B118" s="505"/>
      <c r="C118" s="50"/>
      <c r="D118" s="50"/>
      <c r="E118" s="50"/>
      <c r="F118" s="149"/>
      <c r="G118" s="50"/>
      <c r="H118" s="50"/>
      <c r="I118" s="50"/>
    </row>
    <row r="119" spans="1:10" x14ac:dyDescent="0.3">
      <c r="A119" s="217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99</v>
      </c>
      <c r="B120" s="156" t="s">
        <v>105</v>
      </c>
      <c r="C120" s="514" t="str">
        <f>B20</f>
        <v>Glimepiride 1mg, Metformin HCl 500mg</v>
      </c>
      <c r="D120" s="514"/>
      <c r="E120" s="157" t="s">
        <v>106</v>
      </c>
      <c r="F120" s="157"/>
      <c r="G120" s="158">
        <f>F115</f>
        <v>0.91869563873101523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x14ac:dyDescent="0.3">
      <c r="B122" s="515" t="s">
        <v>67</v>
      </c>
      <c r="C122" s="515"/>
      <c r="E122" s="163" t="s">
        <v>68</v>
      </c>
      <c r="F122" s="211"/>
      <c r="G122" s="515" t="s">
        <v>69</v>
      </c>
      <c r="H122" s="515"/>
    </row>
    <row r="123" spans="1:10" ht="69.95" customHeight="1" x14ac:dyDescent="0.3">
      <c r="A123" s="212" t="s">
        <v>70</v>
      </c>
      <c r="B123" s="213"/>
      <c r="C123" s="213"/>
      <c r="E123" s="213"/>
      <c r="F123" s="50"/>
      <c r="G123" s="214"/>
      <c r="H123" s="214"/>
    </row>
    <row r="124" spans="1:10" ht="69.95" customHeight="1" x14ac:dyDescent="0.3">
      <c r="A124" s="212" t="s">
        <v>71</v>
      </c>
      <c r="B124" s="215"/>
      <c r="C124" s="215"/>
      <c r="E124" s="215"/>
      <c r="F124" s="50"/>
      <c r="G124" s="216"/>
      <c r="H124" s="216"/>
    </row>
    <row r="125" spans="1:10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23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1" zoomScale="60" zoomScaleNormal="40" zoomScalePageLayoutView="55" workbookViewId="0">
      <selection activeCell="F96" sqref="F96"/>
    </sheetView>
  </sheetViews>
  <sheetFormatPr defaultColWidth="9.140625" defaultRowHeight="18.75" x14ac:dyDescent="0.3"/>
  <cols>
    <col min="1" max="1" width="55.42578125" style="337" customWidth="1"/>
    <col min="2" max="2" width="33.7109375" style="337" customWidth="1"/>
    <col min="3" max="3" width="42.28515625" style="337" customWidth="1"/>
    <col min="4" max="4" width="30.5703125" style="337" customWidth="1"/>
    <col min="5" max="5" width="39.85546875" style="337" customWidth="1"/>
    <col min="6" max="6" width="30.7109375" style="337" customWidth="1"/>
    <col min="7" max="7" width="39.85546875" style="337" customWidth="1"/>
    <col min="8" max="8" width="30" style="337" customWidth="1"/>
    <col min="9" max="9" width="30.28515625" style="337" hidden="1" customWidth="1"/>
    <col min="10" max="10" width="30.42578125" style="337" customWidth="1"/>
    <col min="11" max="11" width="21.28515625" style="337" customWidth="1"/>
    <col min="12" max="12" width="9.140625" style="337"/>
  </cols>
  <sheetData>
    <row r="1" spans="1:9" ht="18.75" customHeight="1" x14ac:dyDescent="0.3">
      <c r="A1" s="512" t="s">
        <v>84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3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3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3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3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3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3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3">
      <c r="A8" s="513" t="s">
        <v>85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3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3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3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3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3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3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thickBot="1" x14ac:dyDescent="0.35"/>
    <row r="16" spans="1:9" ht="19.5" customHeight="1" thickBot="1" x14ac:dyDescent="0.35">
      <c r="A16" s="485" t="s">
        <v>72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3">
      <c r="A17" s="488" t="s">
        <v>0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232" t="s">
        <v>1</v>
      </c>
      <c r="B18" s="484" t="s">
        <v>74</v>
      </c>
      <c r="C18" s="484"/>
      <c r="D18" s="402"/>
      <c r="E18" s="233"/>
      <c r="F18" s="234"/>
      <c r="G18" s="234"/>
      <c r="H18" s="234"/>
    </row>
    <row r="19" spans="1:14" ht="26.25" customHeight="1" x14ac:dyDescent="0.4">
      <c r="A19" s="232" t="s">
        <v>2</v>
      </c>
      <c r="B19" s="414" t="s">
        <v>75</v>
      </c>
      <c r="C19" s="404">
        <v>21</v>
      </c>
      <c r="D19" s="234"/>
      <c r="E19" s="234"/>
      <c r="F19" s="234"/>
      <c r="G19" s="234"/>
      <c r="H19" s="234"/>
    </row>
    <row r="20" spans="1:14" ht="26.25" customHeight="1" x14ac:dyDescent="0.4">
      <c r="A20" s="232" t="s">
        <v>3</v>
      </c>
      <c r="B20" s="489" t="s">
        <v>76</v>
      </c>
      <c r="C20" s="489"/>
      <c r="D20" s="234"/>
      <c r="E20" s="234"/>
      <c r="F20" s="234"/>
      <c r="G20" s="234"/>
      <c r="H20" s="234"/>
    </row>
    <row r="21" spans="1:14" ht="26.25" customHeight="1" x14ac:dyDescent="0.4">
      <c r="A21" s="232" t="s">
        <v>4</v>
      </c>
      <c r="B21" s="489" t="s">
        <v>76</v>
      </c>
      <c r="C21" s="489"/>
      <c r="D21" s="489"/>
      <c r="E21" s="489"/>
      <c r="F21" s="489"/>
      <c r="G21" s="489"/>
      <c r="H21" s="489"/>
      <c r="I21" s="236"/>
    </row>
    <row r="22" spans="1:14" ht="26.25" customHeight="1" x14ac:dyDescent="0.4">
      <c r="A22" s="232" t="s">
        <v>5</v>
      </c>
      <c r="B22" s="237" t="s">
        <v>77</v>
      </c>
      <c r="C22" s="234"/>
      <c r="D22" s="234"/>
      <c r="E22" s="234"/>
      <c r="F22" s="234"/>
      <c r="G22" s="234"/>
      <c r="H22" s="234"/>
    </row>
    <row r="23" spans="1:14" ht="26.25" customHeight="1" x14ac:dyDescent="0.4">
      <c r="A23" s="232" t="s">
        <v>6</v>
      </c>
      <c r="B23" s="237"/>
      <c r="C23" s="234"/>
      <c r="D23" s="234"/>
      <c r="E23" s="234"/>
      <c r="F23" s="234"/>
      <c r="G23" s="234"/>
      <c r="H23" s="234"/>
    </row>
    <row r="24" spans="1:14" x14ac:dyDescent="0.3">
      <c r="A24" s="232"/>
      <c r="B24" s="238"/>
    </row>
    <row r="25" spans="1:14" x14ac:dyDescent="0.3">
      <c r="A25" s="239" t="s">
        <v>7</v>
      </c>
      <c r="B25" s="238"/>
    </row>
    <row r="26" spans="1:14" ht="26.25" customHeight="1" x14ac:dyDescent="0.4">
      <c r="A26" s="396" t="s">
        <v>8</v>
      </c>
      <c r="B26" s="484" t="s">
        <v>128</v>
      </c>
      <c r="C26" s="484"/>
    </row>
    <row r="27" spans="1:14" ht="26.25" customHeight="1" x14ac:dyDescent="0.4">
      <c r="A27" s="348" t="s">
        <v>9</v>
      </c>
      <c r="B27" s="490" t="s">
        <v>108</v>
      </c>
      <c r="C27" s="490"/>
    </row>
    <row r="28" spans="1:14" ht="27" customHeight="1" thickBot="1" x14ac:dyDescent="0.45">
      <c r="A28" s="348" t="s">
        <v>10</v>
      </c>
      <c r="B28" s="340">
        <v>99.3</v>
      </c>
    </row>
    <row r="29" spans="1:14" s="247" customFormat="1" ht="27" customHeight="1" thickBot="1" x14ac:dyDescent="0.45">
      <c r="A29" s="348" t="s">
        <v>11</v>
      </c>
      <c r="B29" s="243">
        <v>0</v>
      </c>
      <c r="C29" s="491" t="s">
        <v>12</v>
      </c>
      <c r="D29" s="492"/>
      <c r="E29" s="492"/>
      <c r="F29" s="492"/>
      <c r="G29" s="493"/>
      <c r="I29" s="244"/>
      <c r="J29" s="244"/>
      <c r="K29" s="244"/>
      <c r="L29" s="244"/>
    </row>
    <row r="30" spans="1:14" s="247" customFormat="1" ht="19.5" customHeight="1" thickBot="1" x14ac:dyDescent="0.35">
      <c r="A30" s="348" t="s">
        <v>13</v>
      </c>
      <c r="B30" s="417">
        <f>B28-B29</f>
        <v>99.3</v>
      </c>
      <c r="C30" s="246"/>
      <c r="D30" s="246"/>
      <c r="E30" s="246"/>
      <c r="F30" s="246"/>
      <c r="I30" s="244"/>
      <c r="J30" s="244"/>
      <c r="K30" s="244"/>
      <c r="L30" s="244"/>
    </row>
    <row r="31" spans="1:14" s="247" customFormat="1" ht="27" customHeight="1" thickBot="1" x14ac:dyDescent="0.45">
      <c r="A31" s="348" t="s">
        <v>14</v>
      </c>
      <c r="B31" s="248">
        <v>1</v>
      </c>
      <c r="C31" s="494" t="s">
        <v>86</v>
      </c>
      <c r="D31" s="495"/>
      <c r="E31" s="495"/>
      <c r="F31" s="495"/>
      <c r="G31" s="495"/>
      <c r="H31" s="496"/>
      <c r="I31" s="244"/>
      <c r="J31" s="244"/>
      <c r="K31" s="244"/>
      <c r="L31" s="244"/>
    </row>
    <row r="32" spans="1:14" s="247" customFormat="1" ht="27" customHeight="1" thickBot="1" x14ac:dyDescent="0.45">
      <c r="A32" s="348" t="s">
        <v>15</v>
      </c>
      <c r="B32" s="248">
        <v>1</v>
      </c>
      <c r="C32" s="494" t="s">
        <v>87</v>
      </c>
      <c r="D32" s="495"/>
      <c r="E32" s="495"/>
      <c r="F32" s="495"/>
      <c r="G32" s="495"/>
      <c r="H32" s="496"/>
      <c r="I32" s="244"/>
      <c r="J32" s="244"/>
      <c r="K32" s="244"/>
      <c r="L32" s="249"/>
      <c r="M32" s="249"/>
      <c r="N32" s="250"/>
    </row>
    <row r="33" spans="1:14" s="247" customFormat="1" ht="17.25" customHeight="1" x14ac:dyDescent="0.3">
      <c r="A33" s="348"/>
      <c r="B33" s="251"/>
      <c r="C33" s="252"/>
      <c r="D33" s="252"/>
      <c r="E33" s="252"/>
      <c r="F33" s="252"/>
      <c r="G33" s="252"/>
      <c r="H33" s="252"/>
      <c r="I33" s="244"/>
      <c r="J33" s="244"/>
      <c r="K33" s="244"/>
      <c r="L33" s="249"/>
      <c r="M33" s="249"/>
      <c r="N33" s="250"/>
    </row>
    <row r="34" spans="1:14" s="247" customFormat="1" x14ac:dyDescent="0.3">
      <c r="A34" s="348" t="s">
        <v>16</v>
      </c>
      <c r="B34" s="253">
        <f>B31/B32</f>
        <v>1</v>
      </c>
      <c r="C34" s="337" t="s">
        <v>17</v>
      </c>
      <c r="D34" s="337"/>
      <c r="E34" s="337"/>
      <c r="F34" s="337"/>
      <c r="G34" s="337"/>
      <c r="I34" s="244"/>
      <c r="J34" s="244"/>
      <c r="K34" s="244"/>
      <c r="L34" s="249"/>
      <c r="M34" s="249"/>
      <c r="N34" s="250"/>
    </row>
    <row r="35" spans="1:14" s="247" customFormat="1" ht="19.5" customHeight="1" thickBot="1" x14ac:dyDescent="0.35">
      <c r="A35" s="348"/>
      <c r="B35" s="417"/>
      <c r="G35" s="337"/>
      <c r="I35" s="244"/>
      <c r="J35" s="244"/>
      <c r="K35" s="244"/>
      <c r="L35" s="249"/>
      <c r="M35" s="249"/>
      <c r="N35" s="250"/>
    </row>
    <row r="36" spans="1:14" s="247" customFormat="1" ht="27" customHeight="1" thickBot="1" x14ac:dyDescent="0.45">
      <c r="A36" s="254" t="s">
        <v>88</v>
      </c>
      <c r="B36" s="255">
        <v>50</v>
      </c>
      <c r="C36" s="337"/>
      <c r="D36" s="497" t="s">
        <v>18</v>
      </c>
      <c r="E36" s="498"/>
      <c r="F36" s="497" t="s">
        <v>19</v>
      </c>
      <c r="G36" s="499"/>
      <c r="J36" s="244"/>
      <c r="K36" s="244"/>
      <c r="L36" s="249"/>
      <c r="M36" s="249"/>
      <c r="N36" s="250"/>
    </row>
    <row r="37" spans="1:14" s="247" customFormat="1" ht="27" customHeight="1" thickBot="1" x14ac:dyDescent="0.45">
      <c r="A37" s="256" t="s">
        <v>20</v>
      </c>
      <c r="B37" s="257">
        <v>1</v>
      </c>
      <c r="C37" s="258" t="s">
        <v>45</v>
      </c>
      <c r="D37" s="259" t="s">
        <v>21</v>
      </c>
      <c r="E37" s="260" t="s">
        <v>22</v>
      </c>
      <c r="F37" s="259" t="s">
        <v>21</v>
      </c>
      <c r="G37" s="261" t="s">
        <v>22</v>
      </c>
      <c r="I37" s="262" t="s">
        <v>89</v>
      </c>
      <c r="J37" s="244"/>
      <c r="K37" s="244"/>
      <c r="L37" s="249"/>
      <c r="M37" s="249"/>
      <c r="N37" s="250"/>
    </row>
    <row r="38" spans="1:14" s="247" customFormat="1" ht="26.25" customHeight="1" x14ac:dyDescent="0.4">
      <c r="A38" s="256" t="s">
        <v>23</v>
      </c>
      <c r="B38" s="257">
        <v>25</v>
      </c>
      <c r="C38" s="263">
        <v>1</v>
      </c>
      <c r="D38" s="264">
        <v>242529</v>
      </c>
      <c r="E38" s="265">
        <f>IF(ISBLANK(D38),"-",$D$48/$D$45*D38)</f>
        <v>252939.79980826849</v>
      </c>
      <c r="F38" s="264">
        <v>271430</v>
      </c>
      <c r="G38" s="266">
        <f>IF(ISBLANK(F38),"-",$D$48/$F$45*F38)</f>
        <v>255365.66127315722</v>
      </c>
      <c r="I38" s="267"/>
      <c r="J38" s="244"/>
      <c r="K38" s="244"/>
      <c r="L38" s="249"/>
      <c r="M38" s="249"/>
      <c r="N38" s="250"/>
    </row>
    <row r="39" spans="1:14" s="247" customFormat="1" ht="26.25" customHeight="1" x14ac:dyDescent="0.4">
      <c r="A39" s="256" t="s">
        <v>24</v>
      </c>
      <c r="B39" s="257">
        <v>1</v>
      </c>
      <c r="C39" s="288">
        <v>2</v>
      </c>
      <c r="D39" s="269">
        <v>241542</v>
      </c>
      <c r="E39" s="270">
        <f>IF(ISBLANK(D39),"-",$D$48/$D$45*D39)</f>
        <v>251910.43184645462</v>
      </c>
      <c r="F39" s="269">
        <v>273092</v>
      </c>
      <c r="G39" s="271">
        <f>IF(ISBLANK(F39),"-",$D$48/$F$45*F39)</f>
        <v>256929.29730836331</v>
      </c>
      <c r="I39" s="501">
        <f>ABS((F43/D43*D42)-F42)/D42</f>
        <v>1.484968321559502E-2</v>
      </c>
      <c r="J39" s="244"/>
      <c r="K39" s="244"/>
      <c r="L39" s="249"/>
      <c r="M39" s="249"/>
      <c r="N39" s="250"/>
    </row>
    <row r="40" spans="1:14" ht="26.25" customHeight="1" x14ac:dyDescent="0.4">
      <c r="A40" s="256" t="s">
        <v>25</v>
      </c>
      <c r="B40" s="257">
        <v>1</v>
      </c>
      <c r="C40" s="288">
        <v>3</v>
      </c>
      <c r="D40" s="269">
        <v>251272</v>
      </c>
      <c r="E40" s="270">
        <f>IF(ISBLANK(D40),"-",$D$48/$D$45*D40)</f>
        <v>262058.10182461992</v>
      </c>
      <c r="F40" s="269">
        <v>281550</v>
      </c>
      <c r="G40" s="271">
        <f>IF(ISBLANK(F40),"-",$D$48/$F$45*F40)</f>
        <v>264886.71823843132</v>
      </c>
      <c r="I40" s="501"/>
      <c r="L40" s="249"/>
      <c r="M40" s="249"/>
      <c r="N40" s="337"/>
    </row>
    <row r="41" spans="1:14" ht="27" customHeight="1" thickBot="1" x14ac:dyDescent="0.45">
      <c r="A41" s="256" t="s">
        <v>26</v>
      </c>
      <c r="B41" s="257">
        <v>1</v>
      </c>
      <c r="C41" s="273">
        <v>4</v>
      </c>
      <c r="D41" s="274"/>
      <c r="E41" s="275"/>
      <c r="F41" s="274"/>
      <c r="G41" s="276"/>
      <c r="I41" s="277"/>
      <c r="L41" s="249"/>
      <c r="M41" s="249"/>
      <c r="N41" s="337"/>
    </row>
    <row r="42" spans="1:14" ht="27" customHeight="1" thickBot="1" x14ac:dyDescent="0.45">
      <c r="A42" s="256" t="s">
        <v>27</v>
      </c>
      <c r="B42" s="257">
        <v>1</v>
      </c>
      <c r="C42" s="278" t="s">
        <v>28</v>
      </c>
      <c r="D42" s="279">
        <f>AVERAGE(D38:D41)</f>
        <v>245114.33333333334</v>
      </c>
      <c r="E42" s="280">
        <f>AVERAGE(E38:E41)</f>
        <v>255636.11115978099</v>
      </c>
      <c r="F42" s="279">
        <f>AVERAGE(F38:F41)</f>
        <v>275357.33333333331</v>
      </c>
      <c r="G42" s="281">
        <f>AVERAGE(G38:G41)</f>
        <v>259060.55893998395</v>
      </c>
      <c r="H42" s="282"/>
    </row>
    <row r="43" spans="1:14" ht="26.25" customHeight="1" x14ac:dyDescent="0.4">
      <c r="A43" s="256" t="s">
        <v>29</v>
      </c>
      <c r="B43" s="257">
        <v>1</v>
      </c>
      <c r="C43" s="283" t="s">
        <v>90</v>
      </c>
      <c r="D43" s="284">
        <v>12.07</v>
      </c>
      <c r="F43" s="284">
        <v>13.38</v>
      </c>
      <c r="H43" s="282"/>
    </row>
    <row r="44" spans="1:14" ht="26.25" customHeight="1" x14ac:dyDescent="0.4">
      <c r="A44" s="256" t="s">
        <v>31</v>
      </c>
      <c r="B44" s="257">
        <v>1</v>
      </c>
      <c r="C44" s="285" t="s">
        <v>91</v>
      </c>
      <c r="D44" s="286">
        <f>D43*$B$34</f>
        <v>12.07</v>
      </c>
      <c r="E44" s="356"/>
      <c r="F44" s="286">
        <f>F43*$B$34</f>
        <v>13.38</v>
      </c>
      <c r="H44" s="282"/>
    </row>
    <row r="45" spans="1:14" ht="19.5" customHeight="1" thickBot="1" x14ac:dyDescent="0.35">
      <c r="A45" s="256" t="s">
        <v>33</v>
      </c>
      <c r="B45" s="288">
        <f>(B44/B43)*(B42/B41)*(B40/B39)*(B38/B37)*B36</f>
        <v>1250</v>
      </c>
      <c r="C45" s="285" t="s">
        <v>92</v>
      </c>
      <c r="D45" s="289">
        <f>D44*$B$30/100</f>
        <v>11.98551</v>
      </c>
      <c r="E45" s="333"/>
      <c r="F45" s="289">
        <f>F44*$B$30/100</f>
        <v>13.286340000000001</v>
      </c>
      <c r="H45" s="282"/>
    </row>
    <row r="46" spans="1:14" ht="19.5" customHeight="1" thickBot="1" x14ac:dyDescent="0.35">
      <c r="A46" s="502" t="s">
        <v>35</v>
      </c>
      <c r="B46" s="503"/>
      <c r="C46" s="285" t="s">
        <v>93</v>
      </c>
      <c r="D46" s="291">
        <f>D45/$B$45</f>
        <v>9.5884079999999997E-3</v>
      </c>
      <c r="E46" s="292"/>
      <c r="F46" s="293">
        <f>F45/$B$45</f>
        <v>1.0629072000000002E-2</v>
      </c>
      <c r="H46" s="282"/>
    </row>
    <row r="47" spans="1:14" ht="27" customHeight="1" thickBot="1" x14ac:dyDescent="0.45">
      <c r="A47" s="504"/>
      <c r="B47" s="505"/>
      <c r="C47" s="294" t="s">
        <v>94</v>
      </c>
      <c r="D47" s="295">
        <f>1/100</f>
        <v>0.01</v>
      </c>
      <c r="E47" s="296"/>
      <c r="F47" s="292"/>
      <c r="H47" s="282"/>
    </row>
    <row r="48" spans="1:14" x14ac:dyDescent="0.3">
      <c r="C48" s="297" t="s">
        <v>37</v>
      </c>
      <c r="D48" s="289">
        <f>D47*$B$45</f>
        <v>12.5</v>
      </c>
      <c r="F48" s="298"/>
      <c r="H48" s="282"/>
    </row>
    <row r="49" spans="1:12" ht="19.5" customHeight="1" thickBot="1" x14ac:dyDescent="0.35">
      <c r="C49" s="299" t="s">
        <v>38</v>
      </c>
      <c r="D49" s="300">
        <f>D48/B34</f>
        <v>12.5</v>
      </c>
      <c r="F49" s="298"/>
      <c r="H49" s="282"/>
    </row>
    <row r="50" spans="1:12" x14ac:dyDescent="0.3">
      <c r="C50" s="254" t="s">
        <v>39</v>
      </c>
      <c r="D50" s="301">
        <f>AVERAGE(E38:E41,G38:G41)</f>
        <v>257348.33504988244</v>
      </c>
      <c r="F50" s="302"/>
      <c r="H50" s="282"/>
    </row>
    <row r="51" spans="1:12" x14ac:dyDescent="0.3">
      <c r="C51" s="256" t="s">
        <v>40</v>
      </c>
      <c r="D51" s="303">
        <f>STDEV(E38:E41,G38:G41)/D50</f>
        <v>1.9974719486286749E-2</v>
      </c>
      <c r="F51" s="302"/>
      <c r="H51" s="282"/>
    </row>
    <row r="52" spans="1:12" ht="19.5" customHeight="1" thickBot="1" x14ac:dyDescent="0.35">
      <c r="C52" s="304" t="s">
        <v>41</v>
      </c>
      <c r="D52" s="305">
        <f>COUNT(E38:E41,G38:G41)</f>
        <v>6</v>
      </c>
      <c r="F52" s="302"/>
    </row>
    <row r="54" spans="1:12" x14ac:dyDescent="0.3">
      <c r="A54" s="306" t="s">
        <v>7</v>
      </c>
      <c r="B54" s="307" t="s">
        <v>42</v>
      </c>
    </row>
    <row r="55" spans="1:12" x14ac:dyDescent="0.3">
      <c r="A55" s="337" t="s">
        <v>43</v>
      </c>
      <c r="B55" s="309" t="str">
        <f>B21</f>
        <v>Glimepiride 1mg, Metformin HCl 500mg</v>
      </c>
    </row>
    <row r="56" spans="1:12" ht="26.25" customHeight="1" x14ac:dyDescent="0.4">
      <c r="A56" s="309" t="s">
        <v>95</v>
      </c>
      <c r="B56" s="310">
        <v>1</v>
      </c>
      <c r="C56" s="337" t="str">
        <f>B20</f>
        <v>Glimepiride 1mg, Metformin HCl 500mg</v>
      </c>
      <c r="H56" s="356"/>
    </row>
    <row r="57" spans="1:12" x14ac:dyDescent="0.3">
      <c r="A57" s="309" t="s">
        <v>96</v>
      </c>
      <c r="B57" s="403">
        <f>Uniformity!C46</f>
        <v>614.70150000000001</v>
      </c>
      <c r="H57" s="356"/>
    </row>
    <row r="58" spans="1:12" ht="19.5" customHeight="1" thickBot="1" x14ac:dyDescent="0.35">
      <c r="H58" s="356"/>
    </row>
    <row r="59" spans="1:12" s="247" customFormat="1" ht="27" customHeight="1" thickBot="1" x14ac:dyDescent="0.45">
      <c r="A59" s="254" t="s">
        <v>97</v>
      </c>
      <c r="B59" s="255">
        <v>100</v>
      </c>
      <c r="C59" s="337"/>
      <c r="D59" s="312" t="s">
        <v>44</v>
      </c>
      <c r="E59" s="313" t="s">
        <v>45</v>
      </c>
      <c r="F59" s="313" t="s">
        <v>21</v>
      </c>
      <c r="G59" s="313" t="s">
        <v>46</v>
      </c>
      <c r="H59" s="258" t="s">
        <v>47</v>
      </c>
      <c r="L59" s="244"/>
    </row>
    <row r="60" spans="1:12" s="247" customFormat="1" ht="26.25" customHeight="1" x14ac:dyDescent="0.4">
      <c r="A60" s="256" t="s">
        <v>98</v>
      </c>
      <c r="B60" s="257">
        <v>1</v>
      </c>
      <c r="C60" s="506" t="s">
        <v>49</v>
      </c>
      <c r="D60" s="509">
        <v>621.21</v>
      </c>
      <c r="E60" s="314">
        <v>1</v>
      </c>
      <c r="F60" s="315">
        <v>272859</v>
      </c>
      <c r="G60" s="405">
        <f>IF(ISBLANK(F60),"-",(F60/$D$50*$D$47*$B$68)*($B$57/$D$60))</f>
        <v>1.0491624895206209</v>
      </c>
      <c r="H60" s="316">
        <f>IF(ISBLANK(F60),"-",G60/$B$56)</f>
        <v>1.0491624895206209</v>
      </c>
      <c r="L60" s="244"/>
    </row>
    <row r="61" spans="1:12" s="247" customFormat="1" ht="26.25" customHeight="1" x14ac:dyDescent="0.4">
      <c r="A61" s="256" t="s">
        <v>50</v>
      </c>
      <c r="B61" s="257">
        <v>1</v>
      </c>
      <c r="C61" s="507"/>
      <c r="D61" s="510"/>
      <c r="E61" s="317">
        <v>2</v>
      </c>
      <c r="F61" s="269">
        <v>273036</v>
      </c>
      <c r="G61" s="406">
        <f>IF(ISBLANK(F61),"-",(F61/$D$50*$D$47*$B$68)*($B$57/$D$60))</f>
        <v>1.0498430672572729</v>
      </c>
      <c r="H61" s="318">
        <f t="shared" ref="H61:H70" si="0">IF(ISBLANK(F61),"-",G61/$B$56)</f>
        <v>1.0498430672572729</v>
      </c>
      <c r="L61" s="244"/>
    </row>
    <row r="62" spans="1:12" s="247" customFormat="1" ht="26.25" customHeight="1" x14ac:dyDescent="0.4">
      <c r="A62" s="256" t="s">
        <v>51</v>
      </c>
      <c r="B62" s="257">
        <v>1</v>
      </c>
      <c r="C62" s="507"/>
      <c r="D62" s="510"/>
      <c r="E62" s="317">
        <v>3</v>
      </c>
      <c r="F62" s="319"/>
      <c r="G62" s="406" t="str">
        <f>IF(ISBLANK(F62),"-",(F62/$D$50*$D$47*$B$68)*($B$57/$D$60))</f>
        <v>-</v>
      </c>
      <c r="H62" s="318" t="str">
        <f t="shared" si="0"/>
        <v>-</v>
      </c>
      <c r="L62" s="244"/>
    </row>
    <row r="63" spans="1:12" ht="27" customHeight="1" thickBot="1" x14ac:dyDescent="0.45">
      <c r="A63" s="256" t="s">
        <v>52</v>
      </c>
      <c r="B63" s="257">
        <v>1</v>
      </c>
      <c r="C63" s="508"/>
      <c r="D63" s="511"/>
      <c r="E63" s="320">
        <v>4</v>
      </c>
      <c r="F63" s="321"/>
      <c r="G63" s="406"/>
      <c r="H63" s="318"/>
    </row>
    <row r="64" spans="1:12" ht="26.25" customHeight="1" x14ac:dyDescent="0.4">
      <c r="A64" s="256" t="s">
        <v>53</v>
      </c>
      <c r="B64" s="257">
        <v>1</v>
      </c>
      <c r="C64" s="506" t="s">
        <v>54</v>
      </c>
      <c r="D64" s="509">
        <v>605.01</v>
      </c>
      <c r="E64" s="314">
        <v>1</v>
      </c>
      <c r="F64" s="315">
        <v>266554</v>
      </c>
      <c r="G64" s="407">
        <f>IF(ISBLANK(F64),"-",(F64/$D$50*$D$47*$B$68)*($B$57/$D$64))</f>
        <v>1.0523629775970003</v>
      </c>
      <c r="H64" s="322">
        <f t="shared" si="0"/>
        <v>1.0523629775970003</v>
      </c>
    </row>
    <row r="65" spans="1:8" ht="26.25" customHeight="1" x14ac:dyDescent="0.4">
      <c r="A65" s="256" t="s">
        <v>55</v>
      </c>
      <c r="B65" s="257">
        <v>1</v>
      </c>
      <c r="C65" s="507"/>
      <c r="D65" s="510"/>
      <c r="E65" s="317">
        <v>2</v>
      </c>
      <c r="F65" s="269">
        <v>268077</v>
      </c>
      <c r="G65" s="408">
        <f>IF(ISBLANK(F65),"-",(F65/$D$50*$D$47*$B$68)*($B$57/$D$64))</f>
        <v>1.0583758260812857</v>
      </c>
      <c r="H65" s="323">
        <f t="shared" si="0"/>
        <v>1.0583758260812857</v>
      </c>
    </row>
    <row r="66" spans="1:8" ht="26.25" customHeight="1" x14ac:dyDescent="0.4">
      <c r="A66" s="256" t="s">
        <v>56</v>
      </c>
      <c r="B66" s="257">
        <v>1</v>
      </c>
      <c r="C66" s="507"/>
      <c r="D66" s="510"/>
      <c r="E66" s="317">
        <v>3</v>
      </c>
      <c r="F66" s="269">
        <v>273219</v>
      </c>
      <c r="G66" s="408">
        <f>IF(ISBLANK(F66),"-",(F66/$D$50*$D$47*$B$68)*($B$57/$D$64))</f>
        <v>1.0786765922705148</v>
      </c>
      <c r="H66" s="323">
        <f t="shared" si="0"/>
        <v>1.0786765922705148</v>
      </c>
    </row>
    <row r="67" spans="1:8" ht="27" customHeight="1" thickBot="1" x14ac:dyDescent="0.45">
      <c r="A67" s="256" t="s">
        <v>57</v>
      </c>
      <c r="B67" s="257">
        <v>1</v>
      </c>
      <c r="C67" s="508"/>
      <c r="D67" s="511"/>
      <c r="E67" s="320">
        <v>4</v>
      </c>
      <c r="F67" s="321"/>
      <c r="G67" s="409"/>
      <c r="H67" s="324"/>
    </row>
    <row r="68" spans="1:8" ht="26.25" customHeight="1" x14ac:dyDescent="0.4">
      <c r="A68" s="256" t="s">
        <v>58</v>
      </c>
      <c r="B68" s="325">
        <f>(B67/B66)*(B65/B64)*(B63/B62)*(B61/B60)*B59</f>
        <v>100</v>
      </c>
      <c r="C68" s="506" t="s">
        <v>59</v>
      </c>
      <c r="D68" s="509">
        <v>611.54999999999995</v>
      </c>
      <c r="E68" s="314">
        <v>1</v>
      </c>
      <c r="F68" s="315">
        <v>264763</v>
      </c>
      <c r="G68" s="407">
        <f>IF(ISBLANK(F68),"-",(F68/$D$50*$D$47*$B$68)*($B$57/$D$68))</f>
        <v>1.0341135599344728</v>
      </c>
      <c r="H68" s="318">
        <f t="shared" si="0"/>
        <v>1.0341135599344728</v>
      </c>
    </row>
    <row r="69" spans="1:8" ht="27" customHeight="1" thickBot="1" x14ac:dyDescent="0.45">
      <c r="A69" s="304" t="s">
        <v>60</v>
      </c>
      <c r="B69" s="326">
        <f>(D47*B68)/B56*B57</f>
        <v>614.70150000000001</v>
      </c>
      <c r="C69" s="507"/>
      <c r="D69" s="510"/>
      <c r="E69" s="317">
        <v>2</v>
      </c>
      <c r="F69" s="269">
        <v>266755</v>
      </c>
      <c r="G69" s="408">
        <f>IF(ISBLANK(F69),"-",(F69/$D$50*$D$47*$B$68)*($B$57/$D$68))</f>
        <v>1.0418939303464618</v>
      </c>
      <c r="H69" s="318">
        <f t="shared" si="0"/>
        <v>1.0418939303464618</v>
      </c>
    </row>
    <row r="70" spans="1:8" ht="26.25" customHeight="1" x14ac:dyDescent="0.4">
      <c r="A70" s="519" t="s">
        <v>35</v>
      </c>
      <c r="B70" s="520"/>
      <c r="C70" s="507"/>
      <c r="D70" s="510"/>
      <c r="E70" s="317">
        <v>3</v>
      </c>
      <c r="F70" s="269">
        <v>273063</v>
      </c>
      <c r="G70" s="408">
        <f>IF(ISBLANK(F70),"-",(F70/$D$50*$D$47*$B$68)*($B$57/$D$68))</f>
        <v>1.0665317699844274</v>
      </c>
      <c r="H70" s="318">
        <f t="shared" si="0"/>
        <v>1.0665317699844274</v>
      </c>
    </row>
    <row r="71" spans="1:8" ht="27" customHeight="1" thickBot="1" x14ac:dyDescent="0.45">
      <c r="A71" s="521"/>
      <c r="B71" s="522"/>
      <c r="C71" s="518"/>
      <c r="D71" s="511"/>
      <c r="E71" s="320">
        <v>4</v>
      </c>
      <c r="F71" s="321"/>
      <c r="G71" s="409"/>
      <c r="H71" s="327"/>
    </row>
    <row r="72" spans="1:8" ht="26.25" customHeight="1" x14ac:dyDescent="0.4">
      <c r="A72" s="356"/>
      <c r="B72" s="356"/>
      <c r="C72" s="356"/>
      <c r="D72" s="356"/>
      <c r="E72" s="356"/>
      <c r="F72" s="356"/>
      <c r="G72" s="330" t="s">
        <v>28</v>
      </c>
      <c r="H72" s="331">
        <f>AVERAGE(H60:H71)</f>
        <v>1.0538700266240071</v>
      </c>
    </row>
    <row r="73" spans="1:8" ht="26.25" customHeight="1" x14ac:dyDescent="0.4">
      <c r="C73" s="356"/>
      <c r="D73" s="356"/>
      <c r="E73" s="356"/>
      <c r="F73" s="356"/>
      <c r="G73" s="332" t="s">
        <v>40</v>
      </c>
      <c r="H73" s="410">
        <f>STDEV(H60:H71)/H72</f>
        <v>1.3276530485812692E-2</v>
      </c>
    </row>
    <row r="74" spans="1:8" ht="27" customHeight="1" thickBot="1" x14ac:dyDescent="0.45">
      <c r="A74" s="356"/>
      <c r="B74" s="356"/>
      <c r="C74" s="356"/>
      <c r="D74" s="356"/>
      <c r="E74" s="333"/>
      <c r="F74" s="356"/>
      <c r="G74" s="334" t="s">
        <v>41</v>
      </c>
      <c r="H74" s="335">
        <f>COUNT(H60:H71)</f>
        <v>8</v>
      </c>
    </row>
    <row r="76" spans="1:8" ht="26.25" customHeight="1" x14ac:dyDescent="0.4">
      <c r="A76" s="396" t="s">
        <v>99</v>
      </c>
      <c r="B76" s="348" t="s">
        <v>100</v>
      </c>
      <c r="C76" s="514" t="str">
        <f>B20</f>
        <v>Glimepiride 1mg, Metformin HCl 500mg</v>
      </c>
      <c r="D76" s="514"/>
      <c r="E76" s="337" t="s">
        <v>101</v>
      </c>
      <c r="G76" s="338">
        <f>H72</f>
        <v>1.0538700266240071</v>
      </c>
      <c r="H76" s="417"/>
    </row>
    <row r="77" spans="1:8" x14ac:dyDescent="0.3">
      <c r="A77" s="239" t="s">
        <v>102</v>
      </c>
      <c r="B77" s="239" t="s">
        <v>131</v>
      </c>
    </row>
    <row r="78" spans="1:8" x14ac:dyDescent="0.3">
      <c r="A78" s="239"/>
      <c r="B78" s="239"/>
    </row>
    <row r="79" spans="1:8" ht="26.25" customHeight="1" x14ac:dyDescent="0.4">
      <c r="A79" s="396" t="s">
        <v>8</v>
      </c>
      <c r="B79" s="500" t="str">
        <f>B26</f>
        <v>Glimepiride</v>
      </c>
      <c r="C79" s="500"/>
    </row>
    <row r="80" spans="1:8" ht="26.25" customHeight="1" x14ac:dyDescent="0.4">
      <c r="A80" s="348" t="s">
        <v>9</v>
      </c>
      <c r="B80" s="500" t="str">
        <f>B27</f>
        <v>G</v>
      </c>
      <c r="C80" s="500"/>
    </row>
    <row r="81" spans="1:12" ht="27" customHeight="1" thickBot="1" x14ac:dyDescent="0.45">
      <c r="A81" s="348" t="s">
        <v>10</v>
      </c>
      <c r="B81" s="340">
        <f>B28</f>
        <v>99.3</v>
      </c>
    </row>
    <row r="82" spans="1:12" s="247" customFormat="1" ht="27" customHeight="1" thickBot="1" x14ac:dyDescent="0.45">
      <c r="A82" s="348" t="s">
        <v>11</v>
      </c>
      <c r="B82" s="243">
        <v>0</v>
      </c>
      <c r="C82" s="491" t="s">
        <v>12</v>
      </c>
      <c r="D82" s="492"/>
      <c r="E82" s="492"/>
      <c r="F82" s="492"/>
      <c r="G82" s="493"/>
      <c r="I82" s="244"/>
      <c r="J82" s="244"/>
      <c r="K82" s="244"/>
      <c r="L82" s="244"/>
    </row>
    <row r="83" spans="1:12" s="247" customFormat="1" ht="19.5" customHeight="1" thickBot="1" x14ac:dyDescent="0.35">
      <c r="A83" s="348" t="s">
        <v>13</v>
      </c>
      <c r="B83" s="417">
        <f>B81-B82</f>
        <v>99.3</v>
      </c>
      <c r="C83" s="246"/>
      <c r="D83" s="246"/>
      <c r="E83" s="246"/>
      <c r="F83" s="246"/>
      <c r="I83" s="244"/>
      <c r="J83" s="244"/>
      <c r="K83" s="244"/>
      <c r="L83" s="244"/>
    </row>
    <row r="84" spans="1:12" s="247" customFormat="1" ht="27" customHeight="1" thickBot="1" x14ac:dyDescent="0.45">
      <c r="A84" s="348" t="s">
        <v>14</v>
      </c>
      <c r="B84" s="248">
        <v>1</v>
      </c>
      <c r="C84" s="494" t="s">
        <v>103</v>
      </c>
      <c r="D84" s="495"/>
      <c r="E84" s="495"/>
      <c r="F84" s="495"/>
      <c r="G84" s="495"/>
      <c r="H84" s="496"/>
      <c r="I84" s="244"/>
      <c r="J84" s="244"/>
      <c r="K84" s="244"/>
      <c r="L84" s="244"/>
    </row>
    <row r="85" spans="1:12" s="247" customFormat="1" ht="27" customHeight="1" thickBot="1" x14ac:dyDescent="0.45">
      <c r="A85" s="348" t="s">
        <v>15</v>
      </c>
      <c r="B85" s="248">
        <v>1</v>
      </c>
      <c r="C85" s="494" t="s">
        <v>104</v>
      </c>
      <c r="D85" s="495"/>
      <c r="E85" s="495"/>
      <c r="F85" s="495"/>
      <c r="G85" s="495"/>
      <c r="H85" s="496"/>
      <c r="I85" s="244"/>
      <c r="J85" s="244"/>
      <c r="K85" s="244"/>
      <c r="L85" s="244"/>
    </row>
    <row r="86" spans="1:12" s="247" customFormat="1" x14ac:dyDescent="0.3">
      <c r="A86" s="348"/>
      <c r="B86" s="251"/>
      <c r="C86" s="252"/>
      <c r="D86" s="252"/>
      <c r="E86" s="252"/>
      <c r="F86" s="252"/>
      <c r="G86" s="252"/>
      <c r="H86" s="252"/>
      <c r="I86" s="244"/>
      <c r="J86" s="244"/>
      <c r="K86" s="244"/>
      <c r="L86" s="244"/>
    </row>
    <row r="87" spans="1:12" s="247" customFormat="1" x14ac:dyDescent="0.3">
      <c r="A87" s="348" t="s">
        <v>16</v>
      </c>
      <c r="B87" s="253">
        <f>B84/B85</f>
        <v>1</v>
      </c>
      <c r="C87" s="337" t="s">
        <v>17</v>
      </c>
      <c r="D87" s="337"/>
      <c r="E87" s="337"/>
      <c r="F87" s="337"/>
      <c r="G87" s="337"/>
      <c r="I87" s="244"/>
      <c r="J87" s="244"/>
      <c r="K87" s="244"/>
      <c r="L87" s="244"/>
    </row>
    <row r="88" spans="1:12" ht="19.5" customHeight="1" thickBot="1" x14ac:dyDescent="0.35">
      <c r="A88" s="239"/>
      <c r="B88" s="239"/>
    </row>
    <row r="89" spans="1:12" ht="27" customHeight="1" thickBot="1" x14ac:dyDescent="0.45">
      <c r="A89" s="254" t="s">
        <v>88</v>
      </c>
      <c r="B89" s="255">
        <v>50</v>
      </c>
      <c r="D89" s="415" t="s">
        <v>18</v>
      </c>
      <c r="E89" s="416"/>
      <c r="F89" s="497" t="s">
        <v>19</v>
      </c>
      <c r="G89" s="499"/>
    </row>
    <row r="90" spans="1:12" ht="27" customHeight="1" thickBot="1" x14ac:dyDescent="0.45">
      <c r="A90" s="256" t="s">
        <v>20</v>
      </c>
      <c r="B90" s="257">
        <v>3</v>
      </c>
      <c r="C90" s="418" t="s">
        <v>45</v>
      </c>
      <c r="D90" s="259" t="s">
        <v>21</v>
      </c>
      <c r="E90" s="260" t="s">
        <v>22</v>
      </c>
      <c r="F90" s="259" t="s">
        <v>21</v>
      </c>
      <c r="G90" s="344" t="s">
        <v>22</v>
      </c>
      <c r="I90" s="262" t="s">
        <v>89</v>
      </c>
    </row>
    <row r="91" spans="1:12" ht="26.25" customHeight="1" x14ac:dyDescent="0.4">
      <c r="A91" s="256" t="s">
        <v>23</v>
      </c>
      <c r="B91" s="257">
        <v>20</v>
      </c>
      <c r="C91" s="345">
        <v>1</v>
      </c>
      <c r="D91" s="264">
        <v>88736</v>
      </c>
      <c r="E91" s="265">
        <f>IF(ISBLANK(D91),"-",$D$101/$D$98*D91)</f>
        <v>59485.126120822126</v>
      </c>
      <c r="F91" s="264">
        <v>108923</v>
      </c>
      <c r="G91" s="266">
        <f>IF(ISBLANK(F91),"-",$D$101/$F$98*F91)</f>
        <v>72082.034401811543</v>
      </c>
      <c r="I91" s="267"/>
    </row>
    <row r="92" spans="1:12" ht="26.25" customHeight="1" x14ac:dyDescent="0.4">
      <c r="A92" s="256" t="s">
        <v>24</v>
      </c>
      <c r="B92" s="257">
        <v>1</v>
      </c>
      <c r="C92" s="356">
        <v>2</v>
      </c>
      <c r="D92" s="269">
        <v>89644</v>
      </c>
      <c r="E92" s="270">
        <f>IF(ISBLANK(D92),"-",$D$101/$D$98*D92)</f>
        <v>60093.81362665636</v>
      </c>
      <c r="F92" s="269">
        <v>109124</v>
      </c>
      <c r="G92" s="271">
        <f>IF(ISBLANK(F92),"-",$D$101/$F$98*F92)</f>
        <v>72215.050283808581</v>
      </c>
      <c r="I92" s="501">
        <f>ABS((F96/D96*D95)-F95)/D95</f>
        <v>0.20989473968942318</v>
      </c>
    </row>
    <row r="93" spans="1:12" ht="26.25" customHeight="1" x14ac:dyDescent="0.4">
      <c r="A93" s="256" t="s">
        <v>25</v>
      </c>
      <c r="B93" s="257">
        <v>20</v>
      </c>
      <c r="C93" s="356">
        <v>3</v>
      </c>
      <c r="D93" s="269">
        <v>95890</v>
      </c>
      <c r="E93" s="270">
        <f>IF(ISBLANK(D93),"-",$D$101/$D$98*D93)</f>
        <v>64280.88649167907</v>
      </c>
      <c r="F93" s="269">
        <v>117351</v>
      </c>
      <c r="G93" s="271">
        <f>IF(ISBLANK(F93),"-",$D$101/$F$98*F93)</f>
        <v>77659.436657886632</v>
      </c>
      <c r="I93" s="501"/>
    </row>
    <row r="94" spans="1:12" ht="27" customHeight="1" thickBot="1" x14ac:dyDescent="0.45">
      <c r="A94" s="256" t="s">
        <v>26</v>
      </c>
      <c r="B94" s="257">
        <v>1</v>
      </c>
      <c r="C94" s="346">
        <v>4</v>
      </c>
      <c r="D94" s="274"/>
      <c r="E94" s="275"/>
      <c r="F94" s="347"/>
      <c r="G94" s="276"/>
      <c r="I94" s="277"/>
    </row>
    <row r="95" spans="1:12" ht="27" customHeight="1" thickBot="1" x14ac:dyDescent="0.45">
      <c r="A95" s="256" t="s">
        <v>27</v>
      </c>
      <c r="B95" s="257">
        <v>1</v>
      </c>
      <c r="C95" s="348" t="s">
        <v>28</v>
      </c>
      <c r="D95" s="349">
        <f>AVERAGE(D91:D94)</f>
        <v>91423.333333333328</v>
      </c>
      <c r="E95" s="280">
        <f>AVERAGE(E91:E94)</f>
        <v>61286.608746385849</v>
      </c>
      <c r="F95" s="350">
        <f>AVERAGE(F91:F94)</f>
        <v>111799.33333333333</v>
      </c>
      <c r="G95" s="351">
        <f>AVERAGE(G91:G94)</f>
        <v>73985.507114502252</v>
      </c>
    </row>
    <row r="96" spans="1:12" ht="26.25" customHeight="1" x14ac:dyDescent="0.4">
      <c r="A96" s="256" t="s">
        <v>29</v>
      </c>
      <c r="B96" s="340">
        <v>1</v>
      </c>
      <c r="C96" s="352" t="s">
        <v>30</v>
      </c>
      <c r="D96" s="353">
        <v>20.03</v>
      </c>
      <c r="F96" s="474">
        <v>20.29</v>
      </c>
    </row>
    <row r="97" spans="1:10" ht="26.25" customHeight="1" x14ac:dyDescent="0.4">
      <c r="A97" s="256" t="s">
        <v>31</v>
      </c>
      <c r="B97" s="340">
        <v>1</v>
      </c>
      <c r="C97" s="354" t="s">
        <v>32</v>
      </c>
      <c r="D97" s="355">
        <f>D96*$B$87</f>
        <v>20.03</v>
      </c>
      <c r="E97" s="356"/>
      <c r="F97" s="286">
        <f>F96*$B$87</f>
        <v>20.29</v>
      </c>
    </row>
    <row r="98" spans="1:10" ht="19.5" customHeight="1" thickBot="1" x14ac:dyDescent="0.35">
      <c r="A98" s="256" t="s">
        <v>33</v>
      </c>
      <c r="B98" s="356">
        <f>(B97/B96)*(B95/B94)*(B93/B92)*(B91/B90)*B89</f>
        <v>6666.666666666667</v>
      </c>
      <c r="C98" s="354" t="s">
        <v>34</v>
      </c>
      <c r="D98" s="357">
        <f>D97*$B$83/100</f>
        <v>19.889790000000001</v>
      </c>
      <c r="E98" s="333"/>
      <c r="F98" s="289">
        <f>F97*$B$83/100</f>
        <v>20.147969999999997</v>
      </c>
    </row>
    <row r="99" spans="1:10" ht="19.5" customHeight="1" thickBot="1" x14ac:dyDescent="0.35">
      <c r="A99" s="502" t="s">
        <v>35</v>
      </c>
      <c r="B99" s="516"/>
      <c r="C99" s="354" t="s">
        <v>36</v>
      </c>
      <c r="D99" s="358">
        <f>D98/$B$98</f>
        <v>2.9834685000000001E-3</v>
      </c>
      <c r="E99" s="333"/>
      <c r="F99" s="293">
        <f>F98/$B$98</f>
        <v>3.0221954999999994E-3</v>
      </c>
      <c r="G99" s="359"/>
      <c r="H99" s="282"/>
    </row>
    <row r="100" spans="1:10" ht="19.5" customHeight="1" thickBot="1" x14ac:dyDescent="0.35">
      <c r="A100" s="504"/>
      <c r="B100" s="517"/>
      <c r="C100" s="354" t="s">
        <v>94</v>
      </c>
      <c r="D100" s="360">
        <f>1/500</f>
        <v>2E-3</v>
      </c>
      <c r="F100" s="298"/>
      <c r="G100" s="367"/>
      <c r="H100" s="282"/>
    </row>
    <row r="101" spans="1:10" x14ac:dyDescent="0.3">
      <c r="C101" s="354" t="s">
        <v>37</v>
      </c>
      <c r="D101" s="355">
        <f>D100*$B$98</f>
        <v>13.333333333333334</v>
      </c>
      <c r="F101" s="298"/>
      <c r="G101" s="359"/>
      <c r="H101" s="282"/>
    </row>
    <row r="102" spans="1:10" ht="19.5" customHeight="1" thickBot="1" x14ac:dyDescent="0.35">
      <c r="C102" s="362" t="s">
        <v>38</v>
      </c>
      <c r="D102" s="363">
        <f>D101/B34</f>
        <v>13.333333333333334</v>
      </c>
      <c r="F102" s="302"/>
      <c r="G102" s="359"/>
      <c r="H102" s="282"/>
      <c r="J102" s="364"/>
    </row>
    <row r="103" spans="1:10" x14ac:dyDescent="0.3">
      <c r="C103" s="365" t="s">
        <v>62</v>
      </c>
      <c r="D103" s="366">
        <f>AVERAGE(E91:E94,G91:G94)</f>
        <v>67636.057930444062</v>
      </c>
      <c r="F103" s="302"/>
      <c r="G103" s="367"/>
      <c r="H103" s="282"/>
      <c r="J103" s="368"/>
    </row>
    <row r="104" spans="1:10" x14ac:dyDescent="0.3">
      <c r="C104" s="332" t="s">
        <v>40</v>
      </c>
      <c r="D104" s="369">
        <f>STDEV(E91:E94,G91:G94)/D103</f>
        <v>0.10980444345638597</v>
      </c>
      <c r="F104" s="302"/>
      <c r="G104" s="359"/>
      <c r="H104" s="282"/>
      <c r="J104" s="368"/>
    </row>
    <row r="105" spans="1:10" ht="19.5" customHeight="1" thickBot="1" x14ac:dyDescent="0.35">
      <c r="C105" s="334" t="s">
        <v>41</v>
      </c>
      <c r="D105" s="370">
        <f>COUNT(E91:E94,G91:G94)</f>
        <v>6</v>
      </c>
      <c r="F105" s="302"/>
      <c r="G105" s="359"/>
      <c r="H105" s="282"/>
      <c r="J105" s="368"/>
    </row>
    <row r="106" spans="1:10" ht="19.5" customHeight="1" thickBot="1" x14ac:dyDescent="0.35">
      <c r="A106" s="306"/>
      <c r="B106" s="306"/>
      <c r="C106" s="306"/>
      <c r="D106" s="306"/>
      <c r="E106" s="306"/>
    </row>
    <row r="107" spans="1:10" ht="26.25" customHeight="1" x14ac:dyDescent="0.4">
      <c r="A107" s="254" t="s">
        <v>63</v>
      </c>
      <c r="B107" s="255">
        <v>500</v>
      </c>
      <c r="C107" s="415" t="s">
        <v>64</v>
      </c>
      <c r="D107" s="372" t="s">
        <v>21</v>
      </c>
      <c r="E107" s="373" t="s">
        <v>65</v>
      </c>
      <c r="F107" s="374" t="s">
        <v>66</v>
      </c>
    </row>
    <row r="108" spans="1:10" ht="26.25" customHeight="1" x14ac:dyDescent="0.4">
      <c r="A108" s="256" t="s">
        <v>48</v>
      </c>
      <c r="B108" s="257">
        <v>1</v>
      </c>
      <c r="C108" s="375">
        <v>1</v>
      </c>
      <c r="D108" s="376">
        <v>107649</v>
      </c>
      <c r="E108" s="411">
        <f t="shared" ref="E108:E113" si="1">IF(ISBLANK(D108),"-",D108/$D$103*$D$100*$B$116)</f>
        <v>1.591591871168847</v>
      </c>
      <c r="F108" s="377">
        <f t="shared" ref="F108:F113" si="2">IF(ISBLANK(D108), "-", E108/$B$56)</f>
        <v>1.591591871168847</v>
      </c>
    </row>
    <row r="109" spans="1:10" ht="26.25" customHeight="1" x14ac:dyDescent="0.4">
      <c r="A109" s="256" t="s">
        <v>50</v>
      </c>
      <c r="B109" s="257">
        <v>1</v>
      </c>
      <c r="C109" s="375">
        <v>2</v>
      </c>
      <c r="D109" s="376">
        <v>104833</v>
      </c>
      <c r="E109" s="412">
        <f t="shared" si="1"/>
        <v>1.5499572743847481</v>
      </c>
      <c r="F109" s="378">
        <f t="shared" si="2"/>
        <v>1.5499572743847481</v>
      </c>
    </row>
    <row r="110" spans="1:10" ht="26.25" customHeight="1" x14ac:dyDescent="0.4">
      <c r="A110" s="256" t="s">
        <v>51</v>
      </c>
      <c r="B110" s="257">
        <v>1</v>
      </c>
      <c r="C110" s="375">
        <v>3</v>
      </c>
      <c r="D110" s="376">
        <v>106448</v>
      </c>
      <c r="E110" s="412">
        <f t="shared" si="1"/>
        <v>1.5738350704807422</v>
      </c>
      <c r="F110" s="378">
        <f t="shared" si="2"/>
        <v>1.5738350704807422</v>
      </c>
    </row>
    <row r="111" spans="1:10" ht="26.25" customHeight="1" x14ac:dyDescent="0.4">
      <c r="A111" s="256" t="s">
        <v>52</v>
      </c>
      <c r="B111" s="257">
        <v>1</v>
      </c>
      <c r="C111" s="375">
        <v>4</v>
      </c>
      <c r="D111" s="376">
        <v>102439</v>
      </c>
      <c r="E111" s="412">
        <f t="shared" si="1"/>
        <v>1.514561953113039</v>
      </c>
      <c r="F111" s="378">
        <f t="shared" si="2"/>
        <v>1.514561953113039</v>
      </c>
    </row>
    <row r="112" spans="1:10" ht="26.25" customHeight="1" x14ac:dyDescent="0.4">
      <c r="A112" s="256" t="s">
        <v>53</v>
      </c>
      <c r="B112" s="257">
        <v>1</v>
      </c>
      <c r="C112" s="375">
        <v>5</v>
      </c>
      <c r="D112" s="376">
        <v>105243</v>
      </c>
      <c r="E112" s="412">
        <f t="shared" si="1"/>
        <v>1.5560191297403874</v>
      </c>
      <c r="F112" s="378">
        <f t="shared" si="2"/>
        <v>1.5560191297403874</v>
      </c>
    </row>
    <row r="113" spans="1:10" ht="26.25" customHeight="1" x14ac:dyDescent="0.4">
      <c r="A113" s="256" t="s">
        <v>55</v>
      </c>
      <c r="B113" s="257">
        <v>1</v>
      </c>
      <c r="C113" s="379">
        <v>6</v>
      </c>
      <c r="D113" s="380">
        <v>98030</v>
      </c>
      <c r="E113" s="413">
        <f t="shared" si="1"/>
        <v>1.4493748305203213</v>
      </c>
      <c r="F113" s="381">
        <f t="shared" si="2"/>
        <v>1.4493748305203213</v>
      </c>
    </row>
    <row r="114" spans="1:10" ht="26.25" customHeight="1" x14ac:dyDescent="0.4">
      <c r="A114" s="256" t="s">
        <v>56</v>
      </c>
      <c r="B114" s="257">
        <v>1</v>
      </c>
      <c r="C114" s="375"/>
      <c r="D114" s="356"/>
      <c r="F114" s="382"/>
      <c r="G114" s="376" t="s">
        <v>130</v>
      </c>
    </row>
    <row r="115" spans="1:10" ht="26.25" customHeight="1" x14ac:dyDescent="0.4">
      <c r="A115" s="256" t="s">
        <v>57</v>
      </c>
      <c r="B115" s="257">
        <v>1</v>
      </c>
      <c r="C115" s="375"/>
      <c r="D115" s="383"/>
      <c r="E115" s="384" t="s">
        <v>28</v>
      </c>
      <c r="F115" s="385">
        <f>AVERAGE(F108:F113)</f>
        <v>1.5392233549013474</v>
      </c>
      <c r="G115" s="385">
        <f>AVERAGE(Glimepriride!F108:F113,F108:F113)</f>
        <v>1.2289594968161814</v>
      </c>
    </row>
    <row r="116" spans="1:10" ht="27" customHeight="1" thickBot="1" x14ac:dyDescent="0.45">
      <c r="A116" s="256" t="s">
        <v>58</v>
      </c>
      <c r="B116" s="288">
        <f>(B115/B114)*(B113/B112)*(B111/B110)*(B109/B108)*B107</f>
        <v>500</v>
      </c>
      <c r="C116" s="386"/>
      <c r="D116" s="387"/>
      <c r="E116" s="348" t="s">
        <v>40</v>
      </c>
      <c r="F116" s="388">
        <f>STDEV(F108:F113)/F115</f>
        <v>3.3151027068369698E-2</v>
      </c>
      <c r="G116" s="472">
        <f>STDEV(Glimepriride!F108:F113,F108:F113)/G115</f>
        <v>0.26644611899171899</v>
      </c>
    </row>
    <row r="117" spans="1:10" ht="27" customHeight="1" thickBot="1" x14ac:dyDescent="0.45">
      <c r="A117" s="502" t="s">
        <v>35</v>
      </c>
      <c r="B117" s="503"/>
      <c r="C117" s="389"/>
      <c r="D117" s="390"/>
      <c r="E117" s="391" t="s">
        <v>41</v>
      </c>
      <c r="F117" s="392">
        <f>COUNT(F108:F113)</f>
        <v>6</v>
      </c>
      <c r="G117" s="392">
        <f>COUNT(Glimepriride!F108:F113,F108:F113)</f>
        <v>12</v>
      </c>
      <c r="J117" s="368"/>
    </row>
    <row r="118" spans="1:10" ht="19.5" customHeight="1" thickBot="1" x14ac:dyDescent="0.35">
      <c r="A118" s="504"/>
      <c r="B118" s="505"/>
      <c r="F118" s="356"/>
    </row>
    <row r="119" spans="1:10" x14ac:dyDescent="0.3">
      <c r="A119" s="401"/>
      <c r="B119" s="252"/>
      <c r="F119" s="356"/>
    </row>
    <row r="120" spans="1:10" ht="26.25" customHeight="1" x14ac:dyDescent="0.4">
      <c r="A120" s="396" t="s">
        <v>99</v>
      </c>
      <c r="B120" s="348" t="s">
        <v>105</v>
      </c>
      <c r="C120" s="514" t="str">
        <f>B20</f>
        <v>Glimepiride 1mg, Metformin HCl 500mg</v>
      </c>
      <c r="D120" s="514"/>
      <c r="E120" s="337" t="s">
        <v>106</v>
      </c>
      <c r="G120" s="338">
        <f>F115</f>
        <v>1.5392233549013474</v>
      </c>
    </row>
    <row r="121" spans="1:10" ht="19.5" customHeight="1" thickBot="1" x14ac:dyDescent="0.35">
      <c r="A121" s="419"/>
      <c r="B121" s="419"/>
      <c r="C121" s="394"/>
      <c r="D121" s="394"/>
      <c r="E121" s="394"/>
      <c r="F121" s="394"/>
      <c r="G121" s="394"/>
      <c r="H121" s="394"/>
    </row>
    <row r="122" spans="1:10" x14ac:dyDescent="0.3">
      <c r="B122" s="515" t="s">
        <v>67</v>
      </c>
      <c r="C122" s="515"/>
      <c r="E122" s="418" t="s">
        <v>68</v>
      </c>
      <c r="F122" s="395"/>
      <c r="G122" s="515" t="s">
        <v>69</v>
      </c>
      <c r="H122" s="515"/>
    </row>
    <row r="123" spans="1:10" ht="69.95" customHeight="1" x14ac:dyDescent="0.3">
      <c r="A123" s="396" t="s">
        <v>70</v>
      </c>
      <c r="B123" s="398"/>
      <c r="C123" s="398"/>
      <c r="E123" s="398"/>
      <c r="G123" s="398"/>
      <c r="H123" s="398"/>
    </row>
    <row r="124" spans="1:10" ht="69.95" customHeight="1" x14ac:dyDescent="0.3">
      <c r="A124" s="396" t="s">
        <v>71</v>
      </c>
      <c r="B124" s="399"/>
      <c r="C124" s="399"/>
      <c r="E124" s="399"/>
      <c r="G124" s="400"/>
      <c r="H124" s="400"/>
    </row>
    <row r="125" spans="1:10" x14ac:dyDescent="0.3">
      <c r="A125" s="356"/>
      <c r="B125" s="356"/>
      <c r="C125" s="356"/>
      <c r="D125" s="356"/>
      <c r="E125" s="356"/>
      <c r="F125" s="333"/>
      <c r="G125" s="356"/>
      <c r="H125" s="356"/>
    </row>
    <row r="126" spans="1:10" x14ac:dyDescent="0.3">
      <c r="A126" s="356"/>
      <c r="B126" s="356"/>
      <c r="C126" s="356"/>
      <c r="D126" s="356"/>
      <c r="E126" s="356"/>
      <c r="F126" s="333"/>
      <c r="G126" s="356"/>
      <c r="H126" s="356"/>
    </row>
    <row r="127" spans="1:10" x14ac:dyDescent="0.3">
      <c r="A127" s="356"/>
      <c r="B127" s="356"/>
      <c r="C127" s="356"/>
      <c r="D127" s="356"/>
      <c r="E127" s="356"/>
      <c r="F127" s="333"/>
      <c r="G127" s="356"/>
      <c r="H127" s="356"/>
    </row>
    <row r="128" spans="1:10" x14ac:dyDescent="0.3">
      <c r="A128" s="356"/>
      <c r="B128" s="356"/>
      <c r="C128" s="356"/>
      <c r="D128" s="356"/>
      <c r="E128" s="356"/>
      <c r="F128" s="333"/>
      <c r="G128" s="356"/>
      <c r="H128" s="356"/>
    </row>
    <row r="129" spans="1:8" x14ac:dyDescent="0.3">
      <c r="A129" s="356"/>
      <c r="B129" s="356"/>
      <c r="C129" s="356"/>
      <c r="D129" s="356"/>
      <c r="E129" s="356"/>
      <c r="F129" s="333"/>
      <c r="G129" s="356"/>
      <c r="H129" s="356"/>
    </row>
    <row r="130" spans="1:8" x14ac:dyDescent="0.3">
      <c r="A130" s="356"/>
      <c r="B130" s="356"/>
      <c r="C130" s="356"/>
      <c r="D130" s="356"/>
      <c r="E130" s="356"/>
      <c r="F130" s="333"/>
      <c r="G130" s="356"/>
      <c r="H130" s="356"/>
    </row>
    <row r="131" spans="1:8" x14ac:dyDescent="0.3">
      <c r="A131" s="356"/>
      <c r="B131" s="356"/>
      <c r="C131" s="356"/>
      <c r="D131" s="356"/>
      <c r="E131" s="356"/>
      <c r="F131" s="333"/>
      <c r="G131" s="356"/>
      <c r="H131" s="356"/>
    </row>
    <row r="132" spans="1:8" x14ac:dyDescent="0.3">
      <c r="A132" s="356"/>
      <c r="B132" s="356"/>
      <c r="C132" s="356"/>
      <c r="D132" s="356"/>
      <c r="E132" s="356"/>
      <c r="F132" s="333"/>
      <c r="G132" s="356"/>
      <c r="H132" s="356"/>
    </row>
    <row r="133" spans="1:8" x14ac:dyDescent="0.3">
      <c r="A133" s="356"/>
      <c r="B133" s="356"/>
      <c r="C133" s="356"/>
      <c r="D133" s="356"/>
      <c r="E133" s="356"/>
      <c r="F133" s="333"/>
      <c r="G133" s="356"/>
      <c r="H133" s="356"/>
    </row>
    <row r="250" spans="1:1" x14ac:dyDescent="0.3">
      <c r="A250" s="33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23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5" workbookViewId="0">
      <selection activeCell="D109" sqref="D109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3">
      <c r="A1" s="512" t="s">
        <v>84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3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3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3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3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3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3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3">
      <c r="A8" s="513" t="s">
        <v>85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3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3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3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3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3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3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230"/>
    </row>
    <row r="16" spans="1:9" ht="19.5" customHeight="1" x14ac:dyDescent="0.3">
      <c r="A16" s="485" t="s">
        <v>72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3">
      <c r="A17" s="488" t="s">
        <v>0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232" t="s">
        <v>1</v>
      </c>
      <c r="B18" s="484" t="s">
        <v>74</v>
      </c>
      <c r="C18" s="484"/>
      <c r="D18" s="402"/>
      <c r="E18" s="233"/>
      <c r="F18" s="234"/>
      <c r="G18" s="234"/>
      <c r="H18" s="234"/>
    </row>
    <row r="19" spans="1:14" ht="26.25" customHeight="1" x14ac:dyDescent="0.4">
      <c r="A19" s="232" t="s">
        <v>2</v>
      </c>
      <c r="B19" s="235" t="s">
        <v>75</v>
      </c>
      <c r="C19" s="404">
        <v>21</v>
      </c>
      <c r="D19" s="234"/>
      <c r="E19" s="234"/>
      <c r="F19" s="234"/>
      <c r="G19" s="234"/>
      <c r="H19" s="234"/>
    </row>
    <row r="20" spans="1:14" ht="26.25" customHeight="1" x14ac:dyDescent="0.4">
      <c r="A20" s="232" t="s">
        <v>3</v>
      </c>
      <c r="B20" s="489" t="s">
        <v>76</v>
      </c>
      <c r="C20" s="489"/>
      <c r="D20" s="234"/>
      <c r="E20" s="234"/>
      <c r="F20" s="234"/>
      <c r="G20" s="234"/>
      <c r="H20" s="234"/>
    </row>
    <row r="21" spans="1:14" ht="26.25" customHeight="1" x14ac:dyDescent="0.4">
      <c r="A21" s="232" t="s">
        <v>4</v>
      </c>
      <c r="B21" s="489" t="s">
        <v>76</v>
      </c>
      <c r="C21" s="489"/>
      <c r="D21" s="489"/>
      <c r="E21" s="489"/>
      <c r="F21" s="489"/>
      <c r="G21" s="489"/>
      <c r="H21" s="489"/>
      <c r="I21" s="236"/>
    </row>
    <row r="22" spans="1:14" ht="26.25" customHeight="1" x14ac:dyDescent="0.4">
      <c r="A22" s="232" t="s">
        <v>5</v>
      </c>
      <c r="B22" s="237" t="s">
        <v>77</v>
      </c>
      <c r="C22" s="234"/>
      <c r="D22" s="234"/>
      <c r="E22" s="234"/>
      <c r="F22" s="234"/>
      <c r="G22" s="234"/>
      <c r="H22" s="234"/>
    </row>
    <row r="23" spans="1:14" ht="26.25" customHeight="1" x14ac:dyDescent="0.4">
      <c r="A23" s="232" t="s">
        <v>6</v>
      </c>
      <c r="B23" s="237"/>
      <c r="C23" s="234"/>
      <c r="D23" s="234"/>
      <c r="E23" s="234"/>
      <c r="F23" s="234"/>
      <c r="G23" s="234"/>
      <c r="H23" s="234"/>
    </row>
    <row r="24" spans="1:14" x14ac:dyDescent="0.3">
      <c r="A24" s="232"/>
      <c r="B24" s="238"/>
    </row>
    <row r="25" spans="1:14" x14ac:dyDescent="0.3">
      <c r="A25" s="239" t="s">
        <v>7</v>
      </c>
      <c r="B25" s="238"/>
    </row>
    <row r="26" spans="1:14" ht="26.25" customHeight="1" x14ac:dyDescent="0.4">
      <c r="A26" s="240" t="s">
        <v>8</v>
      </c>
      <c r="B26" s="484" t="s">
        <v>132</v>
      </c>
      <c r="C26" s="484"/>
    </row>
    <row r="27" spans="1:14" ht="26.25" customHeight="1" x14ac:dyDescent="0.4">
      <c r="A27" s="241" t="s">
        <v>9</v>
      </c>
      <c r="B27" s="490" t="s">
        <v>107</v>
      </c>
      <c r="C27" s="490"/>
    </row>
    <row r="28" spans="1:14" ht="27" customHeight="1" x14ac:dyDescent="0.4">
      <c r="A28" s="241" t="s">
        <v>10</v>
      </c>
      <c r="B28" s="242">
        <v>99.19</v>
      </c>
    </row>
    <row r="29" spans="1:14" s="3" customFormat="1" ht="27" customHeight="1" x14ac:dyDescent="0.4">
      <c r="A29" s="241" t="s">
        <v>11</v>
      </c>
      <c r="B29" s="243">
        <v>0</v>
      </c>
      <c r="C29" s="491" t="s">
        <v>12</v>
      </c>
      <c r="D29" s="492"/>
      <c r="E29" s="492"/>
      <c r="F29" s="492"/>
      <c r="G29" s="493"/>
      <c r="I29" s="244"/>
      <c r="J29" s="244"/>
      <c r="K29" s="244"/>
      <c r="L29" s="244"/>
    </row>
    <row r="30" spans="1:14" s="3" customFormat="1" ht="19.5" customHeight="1" x14ac:dyDescent="0.3">
      <c r="A30" s="241" t="s">
        <v>13</v>
      </c>
      <c r="B30" s="245">
        <f>B28-B29</f>
        <v>99.19</v>
      </c>
      <c r="C30" s="246"/>
      <c r="D30" s="246"/>
      <c r="E30" s="246"/>
      <c r="F30" s="246"/>
      <c r="G30" s="247"/>
      <c r="I30" s="244"/>
      <c r="J30" s="244"/>
      <c r="K30" s="244"/>
      <c r="L30" s="244"/>
    </row>
    <row r="31" spans="1:14" s="3" customFormat="1" ht="27" customHeight="1" x14ac:dyDescent="0.4">
      <c r="A31" s="241" t="s">
        <v>14</v>
      </c>
      <c r="B31" s="248">
        <v>1</v>
      </c>
      <c r="C31" s="494" t="s">
        <v>86</v>
      </c>
      <c r="D31" s="495"/>
      <c r="E31" s="495"/>
      <c r="F31" s="495"/>
      <c r="G31" s="495"/>
      <c r="H31" s="496"/>
      <c r="I31" s="244"/>
      <c r="J31" s="244"/>
      <c r="K31" s="244"/>
      <c r="L31" s="244"/>
    </row>
    <row r="32" spans="1:14" s="3" customFormat="1" ht="27" customHeight="1" x14ac:dyDescent="0.4">
      <c r="A32" s="241" t="s">
        <v>15</v>
      </c>
      <c r="B32" s="248">
        <v>1</v>
      </c>
      <c r="C32" s="494" t="s">
        <v>87</v>
      </c>
      <c r="D32" s="495"/>
      <c r="E32" s="495"/>
      <c r="F32" s="495"/>
      <c r="G32" s="495"/>
      <c r="H32" s="496"/>
      <c r="I32" s="244"/>
      <c r="J32" s="244"/>
      <c r="K32" s="244"/>
      <c r="L32" s="249"/>
      <c r="M32" s="249"/>
      <c r="N32" s="250"/>
    </row>
    <row r="33" spans="1:14" s="3" customFormat="1" ht="17.25" customHeight="1" x14ac:dyDescent="0.3">
      <c r="A33" s="241"/>
      <c r="B33" s="251"/>
      <c r="C33" s="252"/>
      <c r="D33" s="252"/>
      <c r="E33" s="252"/>
      <c r="F33" s="252"/>
      <c r="G33" s="252"/>
      <c r="H33" s="252"/>
      <c r="I33" s="244"/>
      <c r="J33" s="244"/>
      <c r="K33" s="244"/>
      <c r="L33" s="249"/>
      <c r="M33" s="249"/>
      <c r="N33" s="250"/>
    </row>
    <row r="34" spans="1:14" s="3" customFormat="1" x14ac:dyDescent="0.3">
      <c r="A34" s="241" t="s">
        <v>16</v>
      </c>
      <c r="B34" s="253">
        <f>B31/B32</f>
        <v>1</v>
      </c>
      <c r="C34" s="231" t="s">
        <v>17</v>
      </c>
      <c r="D34" s="231"/>
      <c r="E34" s="231"/>
      <c r="F34" s="231"/>
      <c r="G34" s="231"/>
      <c r="I34" s="244"/>
      <c r="J34" s="244"/>
      <c r="K34" s="244"/>
      <c r="L34" s="249"/>
      <c r="M34" s="249"/>
      <c r="N34" s="250"/>
    </row>
    <row r="35" spans="1:14" s="3" customFormat="1" ht="19.5" customHeight="1" x14ac:dyDescent="0.3">
      <c r="A35" s="241"/>
      <c r="B35" s="245"/>
      <c r="G35" s="231"/>
      <c r="I35" s="244"/>
      <c r="J35" s="244"/>
      <c r="K35" s="244"/>
      <c r="L35" s="249"/>
      <c r="M35" s="249"/>
      <c r="N35" s="250"/>
    </row>
    <row r="36" spans="1:14" s="3" customFormat="1" ht="27" customHeight="1" x14ac:dyDescent="0.4">
      <c r="A36" s="254" t="s">
        <v>88</v>
      </c>
      <c r="B36" s="255">
        <v>25</v>
      </c>
      <c r="C36" s="231"/>
      <c r="D36" s="497" t="s">
        <v>18</v>
      </c>
      <c r="E36" s="498"/>
      <c r="F36" s="497" t="s">
        <v>19</v>
      </c>
      <c r="G36" s="499"/>
      <c r="J36" s="244"/>
      <c r="K36" s="244"/>
      <c r="L36" s="249"/>
      <c r="M36" s="249"/>
      <c r="N36" s="250"/>
    </row>
    <row r="37" spans="1:14" s="3" customFormat="1" ht="27" customHeight="1" x14ac:dyDescent="0.4">
      <c r="A37" s="256" t="s">
        <v>20</v>
      </c>
      <c r="B37" s="257">
        <v>1</v>
      </c>
      <c r="C37" s="258" t="s">
        <v>45</v>
      </c>
      <c r="D37" s="259" t="s">
        <v>21</v>
      </c>
      <c r="E37" s="260" t="s">
        <v>22</v>
      </c>
      <c r="F37" s="259" t="s">
        <v>21</v>
      </c>
      <c r="G37" s="261" t="s">
        <v>22</v>
      </c>
      <c r="I37" s="262" t="s">
        <v>89</v>
      </c>
      <c r="J37" s="244"/>
      <c r="K37" s="244"/>
      <c r="L37" s="249"/>
      <c r="M37" s="249"/>
      <c r="N37" s="250"/>
    </row>
    <row r="38" spans="1:14" s="3" customFormat="1" ht="26.25" customHeight="1" x14ac:dyDescent="0.4">
      <c r="A38" s="256" t="s">
        <v>23</v>
      </c>
      <c r="B38" s="257">
        <v>1</v>
      </c>
      <c r="C38" s="263">
        <v>1</v>
      </c>
      <c r="D38" s="264">
        <v>5898468</v>
      </c>
      <c r="E38" s="265">
        <f>IF(ISBLANK(D38),"-",$D$48/$D$45*D38)</f>
        <v>6132069.5322260456</v>
      </c>
      <c r="F38" s="264">
        <v>5989412</v>
      </c>
      <c r="G38" s="266">
        <f>IF(ISBLANK(F38),"-",$D$48/$F$45*F38)</f>
        <v>6126047.4104510807</v>
      </c>
      <c r="I38" s="267"/>
      <c r="J38" s="244"/>
      <c r="K38" s="244"/>
      <c r="L38" s="249"/>
      <c r="M38" s="249"/>
      <c r="N38" s="250"/>
    </row>
    <row r="39" spans="1:14" s="3" customFormat="1" ht="26.25" customHeight="1" x14ac:dyDescent="0.4">
      <c r="A39" s="256" t="s">
        <v>24</v>
      </c>
      <c r="B39" s="257">
        <v>1</v>
      </c>
      <c r="C39" s="268">
        <v>2</v>
      </c>
      <c r="D39" s="269">
        <v>5933489</v>
      </c>
      <c r="E39" s="270">
        <f>IF(ISBLANK(D39),"-",$D$48/$D$45*D39)</f>
        <v>6168477.4956307951</v>
      </c>
      <c r="F39" s="269">
        <v>5990860</v>
      </c>
      <c r="G39" s="271">
        <f>IF(ISBLANK(F39),"-",$D$48/$F$45*F39)</f>
        <v>6127528.4434223194</v>
      </c>
      <c r="I39" s="501">
        <f>ABS((F43/D43*D42)-F42)/D42</f>
        <v>2.1144709716367726E-3</v>
      </c>
      <c r="J39" s="244"/>
      <c r="K39" s="244"/>
      <c r="L39" s="249"/>
      <c r="M39" s="249"/>
      <c r="N39" s="250"/>
    </row>
    <row r="40" spans="1:14" ht="26.25" customHeight="1" x14ac:dyDescent="0.4">
      <c r="A40" s="256" t="s">
        <v>25</v>
      </c>
      <c r="B40" s="257">
        <v>1</v>
      </c>
      <c r="C40" s="268">
        <v>3</v>
      </c>
      <c r="D40" s="269">
        <v>5916517</v>
      </c>
      <c r="E40" s="270">
        <f>IF(ISBLANK(D40),"-",$D$48/$D$45*D40)</f>
        <v>6150833.3405551147</v>
      </c>
      <c r="F40" s="269">
        <v>6022040</v>
      </c>
      <c r="G40" s="271">
        <f>IF(ISBLANK(F40),"-",$D$48/$F$45*F40)</f>
        <v>6159419.7473195745</v>
      </c>
      <c r="I40" s="501"/>
      <c r="L40" s="249"/>
      <c r="M40" s="249"/>
      <c r="N40" s="272"/>
    </row>
    <row r="41" spans="1:14" ht="27" customHeight="1" x14ac:dyDescent="0.4">
      <c r="A41" s="256" t="s">
        <v>26</v>
      </c>
      <c r="B41" s="257">
        <v>1</v>
      </c>
      <c r="C41" s="273">
        <v>4</v>
      </c>
      <c r="D41" s="274"/>
      <c r="E41" s="275" t="str">
        <f>IF(ISBLANK(D41),"-",$D$48/$D$45*D41)</f>
        <v>-</v>
      </c>
      <c r="F41" s="274"/>
      <c r="G41" s="276"/>
      <c r="I41" s="277"/>
      <c r="L41" s="249"/>
      <c r="M41" s="249"/>
      <c r="N41" s="272"/>
    </row>
    <row r="42" spans="1:14" ht="27" customHeight="1" x14ac:dyDescent="0.4">
      <c r="A42" s="256" t="s">
        <v>27</v>
      </c>
      <c r="B42" s="257">
        <v>1</v>
      </c>
      <c r="C42" s="278" t="s">
        <v>28</v>
      </c>
      <c r="D42" s="279">
        <f>AVERAGE(D38:D41)</f>
        <v>5916158</v>
      </c>
      <c r="E42" s="280">
        <f>AVERAGE(E38:E41)</f>
        <v>6150460.1228039861</v>
      </c>
      <c r="F42" s="279">
        <f>AVERAGE(F38:F41)</f>
        <v>6000770.666666667</v>
      </c>
      <c r="G42" s="281">
        <f>AVERAGE(G38:G41)</f>
        <v>6137665.2003976582</v>
      </c>
      <c r="H42" s="282"/>
    </row>
    <row r="43" spans="1:14" ht="26.25" customHeight="1" x14ac:dyDescent="0.4">
      <c r="A43" s="256" t="s">
        <v>29</v>
      </c>
      <c r="B43" s="257">
        <v>1</v>
      </c>
      <c r="C43" s="283" t="s">
        <v>90</v>
      </c>
      <c r="D43" s="284">
        <v>121.22</v>
      </c>
      <c r="E43" s="272"/>
      <c r="F43" s="284">
        <v>123.21</v>
      </c>
      <c r="H43" s="282"/>
    </row>
    <row r="44" spans="1:14" ht="26.25" customHeight="1" x14ac:dyDescent="0.4">
      <c r="A44" s="256" t="s">
        <v>31</v>
      </c>
      <c r="B44" s="257">
        <v>1</v>
      </c>
      <c r="C44" s="285" t="s">
        <v>91</v>
      </c>
      <c r="D44" s="286">
        <f>D43*$B$34</f>
        <v>121.22</v>
      </c>
      <c r="E44" s="287"/>
      <c r="F44" s="286">
        <f>F43*$B$34</f>
        <v>123.21</v>
      </c>
      <c r="H44" s="282"/>
    </row>
    <row r="45" spans="1:14" ht="19.5" customHeight="1" x14ac:dyDescent="0.3">
      <c r="A45" s="256" t="s">
        <v>33</v>
      </c>
      <c r="B45" s="288">
        <f>(B44/B43)*(B42/B41)*(B40/B39)*(B38/B37)*B36</f>
        <v>25</v>
      </c>
      <c r="C45" s="285" t="s">
        <v>92</v>
      </c>
      <c r="D45" s="289">
        <f>D44*$B$30/100</f>
        <v>120.238118</v>
      </c>
      <c r="E45" s="290"/>
      <c r="F45" s="289">
        <f>F44*$B$30/100</f>
        <v>122.21199899999999</v>
      </c>
      <c r="H45" s="282"/>
    </row>
    <row r="46" spans="1:14" ht="19.5" customHeight="1" x14ac:dyDescent="0.3">
      <c r="A46" s="502" t="s">
        <v>35</v>
      </c>
      <c r="B46" s="503"/>
      <c r="C46" s="285" t="s">
        <v>93</v>
      </c>
      <c r="D46" s="291">
        <f>D45/$B$45</f>
        <v>4.8095247199999998</v>
      </c>
      <c r="E46" s="292"/>
      <c r="F46" s="293">
        <f>F45/$B$45</f>
        <v>4.8884799599999997</v>
      </c>
      <c r="H46" s="282"/>
    </row>
    <row r="47" spans="1:14" ht="27" customHeight="1" x14ac:dyDescent="0.4">
      <c r="A47" s="504"/>
      <c r="B47" s="505"/>
      <c r="C47" s="294" t="s">
        <v>94</v>
      </c>
      <c r="D47" s="295">
        <v>5</v>
      </c>
      <c r="E47" s="296"/>
      <c r="F47" s="292"/>
      <c r="H47" s="282"/>
    </row>
    <row r="48" spans="1:14" x14ac:dyDescent="0.3">
      <c r="C48" s="297" t="s">
        <v>37</v>
      </c>
      <c r="D48" s="289">
        <f>D47*$B$45</f>
        <v>125</v>
      </c>
      <c r="F48" s="298"/>
      <c r="H48" s="282"/>
    </row>
    <row r="49" spans="1:12" ht="19.5" customHeight="1" x14ac:dyDescent="0.3">
      <c r="C49" s="299" t="s">
        <v>38</v>
      </c>
      <c r="D49" s="300">
        <f>D48/B34</f>
        <v>125</v>
      </c>
      <c r="F49" s="298"/>
      <c r="H49" s="282"/>
    </row>
    <row r="50" spans="1:12" x14ac:dyDescent="0.3">
      <c r="C50" s="254" t="s">
        <v>39</v>
      </c>
      <c r="D50" s="301">
        <f>AVERAGE(E38:E41,G38:G41)</f>
        <v>6144062.6616008217</v>
      </c>
      <c r="F50" s="302"/>
      <c r="H50" s="282"/>
    </row>
    <row r="51" spans="1:12" x14ac:dyDescent="0.3">
      <c r="C51" s="256" t="s">
        <v>40</v>
      </c>
      <c r="D51" s="303">
        <f>STDEV(E38:E41,G38:G41)/D50</f>
        <v>2.9292335973027423E-3</v>
      </c>
      <c r="F51" s="302"/>
      <c r="H51" s="282"/>
    </row>
    <row r="52" spans="1:12" ht="19.5" customHeight="1" x14ac:dyDescent="0.3">
      <c r="C52" s="304" t="s">
        <v>41</v>
      </c>
      <c r="D52" s="305">
        <f>COUNT(E38:E41,G38:G41)</f>
        <v>6</v>
      </c>
      <c r="F52" s="302"/>
    </row>
    <row r="54" spans="1:12" x14ac:dyDescent="0.3">
      <c r="A54" s="306" t="s">
        <v>7</v>
      </c>
      <c r="B54" s="307" t="s">
        <v>42</v>
      </c>
    </row>
    <row r="55" spans="1:12" x14ac:dyDescent="0.3">
      <c r="A55" s="231" t="s">
        <v>43</v>
      </c>
      <c r="B55" s="308" t="str">
        <f>B21</f>
        <v>Glimepiride 1mg, Metformin HCl 500mg</v>
      </c>
    </row>
    <row r="56" spans="1:12" ht="26.25" customHeight="1" x14ac:dyDescent="0.4">
      <c r="A56" s="309" t="s">
        <v>95</v>
      </c>
      <c r="B56" s="310">
        <v>500</v>
      </c>
      <c r="C56" s="231" t="str">
        <f>B20</f>
        <v>Glimepiride 1mg, Metformin HCl 500mg</v>
      </c>
      <c r="H56" s="311"/>
    </row>
    <row r="57" spans="1:12" x14ac:dyDescent="0.3">
      <c r="A57" s="308" t="s">
        <v>96</v>
      </c>
      <c r="B57" s="403">
        <f>Uniformity!C46</f>
        <v>614.70150000000001</v>
      </c>
      <c r="H57" s="311"/>
    </row>
    <row r="58" spans="1:12" ht="19.5" customHeight="1" x14ac:dyDescent="0.3">
      <c r="H58" s="311"/>
    </row>
    <row r="59" spans="1:12" s="3" customFormat="1" ht="27" customHeight="1" x14ac:dyDescent="0.4">
      <c r="A59" s="254" t="s">
        <v>97</v>
      </c>
      <c r="B59" s="255">
        <v>100</v>
      </c>
      <c r="C59" s="231"/>
      <c r="D59" s="312" t="s">
        <v>44</v>
      </c>
      <c r="E59" s="313" t="s">
        <v>45</v>
      </c>
      <c r="F59" s="313" t="s">
        <v>21</v>
      </c>
      <c r="G59" s="313" t="s">
        <v>46</v>
      </c>
      <c r="H59" s="258" t="s">
        <v>47</v>
      </c>
      <c r="L59" s="244"/>
    </row>
    <row r="60" spans="1:12" s="3" customFormat="1" ht="26.25" customHeight="1" x14ac:dyDescent="0.4">
      <c r="A60" s="256" t="s">
        <v>98</v>
      </c>
      <c r="B60" s="257">
        <v>1</v>
      </c>
      <c r="C60" s="506" t="s">
        <v>49</v>
      </c>
      <c r="D60" s="509">
        <v>621.21</v>
      </c>
      <c r="E60" s="314">
        <v>1</v>
      </c>
      <c r="F60" s="315">
        <v>6578498</v>
      </c>
      <c r="G60" s="405">
        <f>IF(ISBLANK(F60),"-",(F60/$D$50*$D$47*$B$68)*($B$57/$D$60))</f>
        <v>529.74510172099201</v>
      </c>
      <c r="H60" s="316">
        <f>IF(ISBLANK(F60),"-",G60/$B$56)</f>
        <v>1.059490203441984</v>
      </c>
      <c r="L60" s="244"/>
    </row>
    <row r="61" spans="1:12" s="3" customFormat="1" ht="26.25" customHeight="1" x14ac:dyDescent="0.4">
      <c r="A61" s="256" t="s">
        <v>50</v>
      </c>
      <c r="B61" s="257">
        <v>1</v>
      </c>
      <c r="C61" s="507"/>
      <c r="D61" s="510"/>
      <c r="E61" s="317">
        <v>2</v>
      </c>
      <c r="F61" s="269">
        <v>6547132</v>
      </c>
      <c r="G61" s="406">
        <f>IF(ISBLANK(F61),"-",(F61/$D$50*$D$47*$B$68)*($B$57/$D$60))</f>
        <v>527.21929949978903</v>
      </c>
      <c r="H61" s="318">
        <f t="shared" ref="H61:H70" si="0">IF(ISBLANK(F61),"-",G61/$B$56)</f>
        <v>1.0544385989995781</v>
      </c>
      <c r="L61" s="244"/>
    </row>
    <row r="62" spans="1:12" s="3" customFormat="1" ht="26.25" customHeight="1" x14ac:dyDescent="0.4">
      <c r="A62" s="256" t="s">
        <v>51</v>
      </c>
      <c r="B62" s="257">
        <v>1</v>
      </c>
      <c r="C62" s="507"/>
      <c r="D62" s="510"/>
      <c r="E62" s="317">
        <v>3</v>
      </c>
      <c r="F62" s="319">
        <v>6591730</v>
      </c>
      <c r="G62" s="406">
        <f>IF(ISBLANK(F62),"-",(F62/$D$50*$D$47*$B$68)*($B$57/$D$60))</f>
        <v>530.81063175322333</v>
      </c>
      <c r="H62" s="318">
        <f t="shared" si="0"/>
        <v>1.0616212635064466</v>
      </c>
      <c r="L62" s="244"/>
    </row>
    <row r="63" spans="1:12" ht="27" customHeight="1" x14ac:dyDescent="0.4">
      <c r="A63" s="256" t="s">
        <v>52</v>
      </c>
      <c r="B63" s="257">
        <v>1</v>
      </c>
      <c r="C63" s="508"/>
      <c r="D63" s="511"/>
      <c r="E63" s="320">
        <v>4</v>
      </c>
      <c r="F63" s="321"/>
      <c r="G63" s="406"/>
      <c r="H63" s="318"/>
    </row>
    <row r="64" spans="1:12" ht="26.25" customHeight="1" x14ac:dyDescent="0.4">
      <c r="A64" s="256" t="s">
        <v>53</v>
      </c>
      <c r="B64" s="257">
        <v>1</v>
      </c>
      <c r="C64" s="506" t="s">
        <v>54</v>
      </c>
      <c r="D64" s="509">
        <v>605.01</v>
      </c>
      <c r="E64" s="314">
        <v>1</v>
      </c>
      <c r="F64" s="315">
        <v>6411876</v>
      </c>
      <c r="G64" s="407">
        <f>IF(ISBLANK(F64),"-",(F64/$D$50*$D$47*$B$68)*($B$57/$D$64))</f>
        <v>530.15297497374036</v>
      </c>
      <c r="H64" s="322">
        <f t="shared" si="0"/>
        <v>1.0603059499474807</v>
      </c>
    </row>
    <row r="65" spans="1:8" ht="26.25" customHeight="1" x14ac:dyDescent="0.4">
      <c r="A65" s="256" t="s">
        <v>55</v>
      </c>
      <c r="B65" s="257">
        <v>1</v>
      </c>
      <c r="C65" s="507"/>
      <c r="D65" s="510"/>
      <c r="E65" s="317">
        <v>2</v>
      </c>
      <c r="F65" s="269">
        <v>6415897</v>
      </c>
      <c r="G65" s="408">
        <f>IF(ISBLANK(F65),"-",(F65/$D$50*$D$47*$B$68)*($B$57/$D$64))</f>
        <v>530.48544321117481</v>
      </c>
      <c r="H65" s="323">
        <f t="shared" si="0"/>
        <v>1.0609708864223497</v>
      </c>
    </row>
    <row r="66" spans="1:8" ht="26.25" customHeight="1" x14ac:dyDescent="0.4">
      <c r="A66" s="256" t="s">
        <v>56</v>
      </c>
      <c r="B66" s="257">
        <v>1</v>
      </c>
      <c r="C66" s="507"/>
      <c r="D66" s="510"/>
      <c r="E66" s="317">
        <v>3</v>
      </c>
      <c r="F66" s="269">
        <v>6413364</v>
      </c>
      <c r="G66" s="408">
        <f>IF(ISBLANK(F66),"-",(F66/$D$50*$D$47*$B$68)*($B$57/$D$64))</f>
        <v>530.27600723867511</v>
      </c>
      <c r="H66" s="323">
        <f t="shared" si="0"/>
        <v>1.0605520144773501</v>
      </c>
    </row>
    <row r="67" spans="1:8" ht="27" customHeight="1" x14ac:dyDescent="0.4">
      <c r="A67" s="256" t="s">
        <v>57</v>
      </c>
      <c r="B67" s="257">
        <v>1</v>
      </c>
      <c r="C67" s="508"/>
      <c r="D67" s="511"/>
      <c r="E67" s="320">
        <v>4</v>
      </c>
      <c r="F67" s="321"/>
      <c r="G67" s="409"/>
      <c r="H67" s="324"/>
    </row>
    <row r="68" spans="1:8" ht="26.25" customHeight="1" x14ac:dyDescent="0.4">
      <c r="A68" s="256" t="s">
        <v>58</v>
      </c>
      <c r="B68" s="325">
        <f>(B67/B66)*(B65/B64)*(B63/B62)*(B61/B60)*B59</f>
        <v>100</v>
      </c>
      <c r="C68" s="506" t="s">
        <v>59</v>
      </c>
      <c r="D68" s="509">
        <v>611.54999999999995</v>
      </c>
      <c r="E68" s="314">
        <v>1</v>
      </c>
      <c r="F68" s="315">
        <v>6375687</v>
      </c>
      <c r="G68" s="407">
        <f>IF(ISBLANK(F68),"-",(F68/$D$50*$D$47*$B$68)*($B$57/$D$68))</f>
        <v>521.52323099319722</v>
      </c>
      <c r="H68" s="318">
        <f t="shared" si="0"/>
        <v>1.0430464619863944</v>
      </c>
    </row>
    <row r="69" spans="1:8" ht="27" customHeight="1" x14ac:dyDescent="0.4">
      <c r="A69" s="304" t="s">
        <v>60</v>
      </c>
      <c r="B69" s="326">
        <f>(D47*B68)/B56*B57</f>
        <v>614.70150000000001</v>
      </c>
      <c r="C69" s="507"/>
      <c r="D69" s="510"/>
      <c r="E69" s="317">
        <v>2</v>
      </c>
      <c r="F69" s="269">
        <v>6398706</v>
      </c>
      <c r="G69" s="408">
        <f>IF(ISBLANK(F69),"-",(F69/$D$50*$D$47*$B$68)*($B$57/$D$68))</f>
        <v>523.40615643389594</v>
      </c>
      <c r="H69" s="318">
        <f t="shared" si="0"/>
        <v>1.046812312867792</v>
      </c>
    </row>
    <row r="70" spans="1:8" ht="26.25" customHeight="1" x14ac:dyDescent="0.4">
      <c r="A70" s="519" t="s">
        <v>35</v>
      </c>
      <c r="B70" s="520"/>
      <c r="C70" s="507"/>
      <c r="D70" s="510"/>
      <c r="E70" s="317">
        <v>3</v>
      </c>
      <c r="F70" s="269">
        <v>6399984</v>
      </c>
      <c r="G70" s="408">
        <f>IF(ISBLANK(F70),"-",(F70/$D$50*$D$47*$B$68)*($B$57/$D$68))</f>
        <v>523.51069523719809</v>
      </c>
      <c r="H70" s="318">
        <f t="shared" si="0"/>
        <v>1.0470213904743961</v>
      </c>
    </row>
    <row r="71" spans="1:8" ht="27" customHeight="1" x14ac:dyDescent="0.4">
      <c r="A71" s="521"/>
      <c r="B71" s="522"/>
      <c r="C71" s="518"/>
      <c r="D71" s="511"/>
      <c r="E71" s="320">
        <v>4</v>
      </c>
      <c r="F71" s="321"/>
      <c r="G71" s="409"/>
      <c r="H71" s="327"/>
    </row>
    <row r="72" spans="1:8" ht="26.25" customHeight="1" x14ac:dyDescent="0.4">
      <c r="A72" s="328"/>
      <c r="B72" s="328"/>
      <c r="C72" s="328"/>
      <c r="D72" s="328"/>
      <c r="E72" s="328"/>
      <c r="F72" s="329"/>
      <c r="G72" s="330" t="s">
        <v>28</v>
      </c>
      <c r="H72" s="331">
        <f>AVERAGE(H60:H71)</f>
        <v>1.0549176757915302</v>
      </c>
    </row>
    <row r="73" spans="1:8" ht="26.25" customHeight="1" x14ac:dyDescent="0.4">
      <c r="C73" s="328"/>
      <c r="D73" s="328"/>
      <c r="E73" s="328"/>
      <c r="F73" s="329"/>
      <c r="G73" s="332" t="s">
        <v>40</v>
      </c>
      <c r="H73" s="410">
        <f>STDEV(H60:H71)/H72</f>
        <v>6.9697070650354591E-3</v>
      </c>
    </row>
    <row r="74" spans="1:8" ht="27" customHeight="1" x14ac:dyDescent="0.4">
      <c r="A74" s="328"/>
      <c r="B74" s="328"/>
      <c r="C74" s="329"/>
      <c r="D74" s="329"/>
      <c r="E74" s="333"/>
      <c r="F74" s="329"/>
      <c r="G74" s="334" t="s">
        <v>41</v>
      </c>
      <c r="H74" s="335">
        <f>COUNT(H60:H71)</f>
        <v>9</v>
      </c>
    </row>
    <row r="76" spans="1:8" ht="26.25" customHeight="1" x14ac:dyDescent="0.4">
      <c r="A76" s="240" t="s">
        <v>99</v>
      </c>
      <c r="B76" s="336" t="s">
        <v>100</v>
      </c>
      <c r="C76" s="514" t="str">
        <f>B20</f>
        <v>Glimepiride 1mg, Metformin HCl 500mg</v>
      </c>
      <c r="D76" s="514"/>
      <c r="E76" s="337" t="s">
        <v>101</v>
      </c>
      <c r="F76" s="337"/>
      <c r="G76" s="338">
        <f>H72</f>
        <v>1.0549176757915302</v>
      </c>
      <c r="H76" s="339"/>
    </row>
    <row r="77" spans="1:8" x14ac:dyDescent="0.3">
      <c r="A77" s="239" t="s">
        <v>102</v>
      </c>
      <c r="B77" s="239" t="s">
        <v>61</v>
      </c>
    </row>
    <row r="78" spans="1:8" x14ac:dyDescent="0.3">
      <c r="A78" s="239"/>
      <c r="B78" s="239"/>
    </row>
    <row r="79" spans="1:8" ht="26.25" customHeight="1" x14ac:dyDescent="0.4">
      <c r="A79" s="240" t="s">
        <v>8</v>
      </c>
      <c r="B79" s="500" t="str">
        <f>B26</f>
        <v xml:space="preserve">Metformin HCl </v>
      </c>
      <c r="C79" s="500"/>
    </row>
    <row r="80" spans="1:8" ht="26.25" customHeight="1" x14ac:dyDescent="0.4">
      <c r="A80" s="241" t="s">
        <v>9</v>
      </c>
      <c r="B80" s="500" t="str">
        <f>B27</f>
        <v>M19-1</v>
      </c>
      <c r="C80" s="500"/>
    </row>
    <row r="81" spans="1:12" ht="27" customHeight="1" x14ac:dyDescent="0.4">
      <c r="A81" s="241" t="s">
        <v>10</v>
      </c>
      <c r="B81" s="340">
        <f>B28</f>
        <v>99.19</v>
      </c>
    </row>
    <row r="82" spans="1:12" s="3" customFormat="1" ht="27" customHeight="1" x14ac:dyDescent="0.4">
      <c r="A82" s="241" t="s">
        <v>11</v>
      </c>
      <c r="B82" s="243">
        <v>0</v>
      </c>
      <c r="C82" s="491" t="s">
        <v>12</v>
      </c>
      <c r="D82" s="492"/>
      <c r="E82" s="492"/>
      <c r="F82" s="492"/>
      <c r="G82" s="493"/>
      <c r="I82" s="244"/>
      <c r="J82" s="244"/>
      <c r="K82" s="244"/>
      <c r="L82" s="244"/>
    </row>
    <row r="83" spans="1:12" s="3" customFormat="1" ht="19.5" customHeight="1" x14ac:dyDescent="0.3">
      <c r="A83" s="241" t="s">
        <v>13</v>
      </c>
      <c r="B83" s="245">
        <f>B81-B82</f>
        <v>99.19</v>
      </c>
      <c r="C83" s="246"/>
      <c r="D83" s="246"/>
      <c r="E83" s="246"/>
      <c r="F83" s="246"/>
      <c r="G83" s="247"/>
      <c r="I83" s="244"/>
      <c r="J83" s="244"/>
      <c r="K83" s="244"/>
      <c r="L83" s="244"/>
    </row>
    <row r="84" spans="1:12" s="3" customFormat="1" ht="27" customHeight="1" x14ac:dyDescent="0.4">
      <c r="A84" s="241" t="s">
        <v>14</v>
      </c>
      <c r="B84" s="248">
        <v>1</v>
      </c>
      <c r="C84" s="494" t="s">
        <v>103</v>
      </c>
      <c r="D84" s="495"/>
      <c r="E84" s="495"/>
      <c r="F84" s="495"/>
      <c r="G84" s="495"/>
      <c r="H84" s="496"/>
      <c r="I84" s="244"/>
      <c r="J84" s="244"/>
      <c r="K84" s="244"/>
      <c r="L84" s="244"/>
    </row>
    <row r="85" spans="1:12" s="3" customFormat="1" ht="27" customHeight="1" x14ac:dyDescent="0.4">
      <c r="A85" s="241" t="s">
        <v>15</v>
      </c>
      <c r="B85" s="248">
        <v>1</v>
      </c>
      <c r="C85" s="494" t="s">
        <v>104</v>
      </c>
      <c r="D85" s="495"/>
      <c r="E85" s="495"/>
      <c r="F85" s="495"/>
      <c r="G85" s="495"/>
      <c r="H85" s="496"/>
      <c r="I85" s="244"/>
      <c r="J85" s="244"/>
      <c r="K85" s="244"/>
      <c r="L85" s="244"/>
    </row>
    <row r="86" spans="1:12" s="3" customFormat="1" x14ac:dyDescent="0.3">
      <c r="A86" s="241"/>
      <c r="B86" s="251"/>
      <c r="C86" s="252"/>
      <c r="D86" s="252"/>
      <c r="E86" s="252"/>
      <c r="F86" s="252"/>
      <c r="G86" s="252"/>
      <c r="H86" s="252"/>
      <c r="I86" s="244"/>
      <c r="J86" s="244"/>
      <c r="K86" s="244"/>
      <c r="L86" s="244"/>
    </row>
    <row r="87" spans="1:12" s="3" customFormat="1" x14ac:dyDescent="0.3">
      <c r="A87" s="241" t="s">
        <v>16</v>
      </c>
      <c r="B87" s="253">
        <f>B84/B85</f>
        <v>1</v>
      </c>
      <c r="C87" s="231" t="s">
        <v>17</v>
      </c>
      <c r="D87" s="231"/>
      <c r="E87" s="231"/>
      <c r="F87" s="231"/>
      <c r="G87" s="231"/>
      <c r="I87" s="244"/>
      <c r="J87" s="244"/>
      <c r="K87" s="244"/>
      <c r="L87" s="244"/>
    </row>
    <row r="88" spans="1:12" ht="19.5" customHeight="1" x14ac:dyDescent="0.3">
      <c r="A88" s="239"/>
      <c r="B88" s="239"/>
    </row>
    <row r="89" spans="1:12" ht="27" customHeight="1" x14ac:dyDescent="0.4">
      <c r="A89" s="254" t="s">
        <v>88</v>
      </c>
      <c r="B89" s="255">
        <v>20</v>
      </c>
      <c r="D89" s="341" t="s">
        <v>18</v>
      </c>
      <c r="E89" s="342"/>
      <c r="F89" s="497" t="s">
        <v>19</v>
      </c>
      <c r="G89" s="499"/>
    </row>
    <row r="90" spans="1:12" ht="27" customHeight="1" x14ac:dyDescent="0.4">
      <c r="A90" s="256" t="s">
        <v>20</v>
      </c>
      <c r="B90" s="257">
        <v>1</v>
      </c>
      <c r="C90" s="343" t="s">
        <v>45</v>
      </c>
      <c r="D90" s="259" t="s">
        <v>21</v>
      </c>
      <c r="E90" s="260" t="s">
        <v>22</v>
      </c>
      <c r="F90" s="259" t="s">
        <v>21</v>
      </c>
      <c r="G90" s="344" t="s">
        <v>22</v>
      </c>
      <c r="I90" s="262" t="s">
        <v>89</v>
      </c>
    </row>
    <row r="91" spans="1:12" ht="26.25" customHeight="1" x14ac:dyDescent="0.4">
      <c r="A91" s="256" t="s">
        <v>23</v>
      </c>
      <c r="B91" s="257">
        <v>1</v>
      </c>
      <c r="C91" s="345">
        <v>1</v>
      </c>
      <c r="D91" s="264">
        <v>1337345</v>
      </c>
      <c r="E91" s="265">
        <f>IF(ISBLANK(D91),"-",$D$101/$D$98*D91)</f>
        <v>1397166.7919474165</v>
      </c>
      <c r="F91" s="264">
        <v>1398248</v>
      </c>
      <c r="G91" s="266">
        <f>IF(ISBLANK(F91),"-",$D$101/$F$98*F91)</f>
        <v>1399867.2264208007</v>
      </c>
      <c r="I91" s="267"/>
    </row>
    <row r="92" spans="1:12" ht="26.25" customHeight="1" x14ac:dyDescent="0.4">
      <c r="A92" s="256" t="s">
        <v>24</v>
      </c>
      <c r="B92" s="257">
        <v>1</v>
      </c>
      <c r="C92" s="329">
        <v>2</v>
      </c>
      <c r="D92" s="269">
        <v>1342442</v>
      </c>
      <c r="E92" s="270">
        <f>IF(ISBLANK(D92),"-",$D$101/$D$98*D92)</f>
        <v>1402491.7897143022</v>
      </c>
      <c r="F92" s="269">
        <v>1400476</v>
      </c>
      <c r="G92" s="271">
        <f>IF(ISBLANK(F92),"-",$D$101/$F$98*F92)</f>
        <v>1402097.8065328163</v>
      </c>
      <c r="I92" s="501">
        <f>ABS((F96/D96*D95)-F95)/D95</f>
        <v>5.8352902776051898E-4</v>
      </c>
    </row>
    <row r="93" spans="1:12" ht="26.25" customHeight="1" x14ac:dyDescent="0.4">
      <c r="A93" s="256" t="s">
        <v>25</v>
      </c>
      <c r="B93" s="257">
        <v>1</v>
      </c>
      <c r="C93" s="329">
        <v>3</v>
      </c>
      <c r="D93" s="269">
        <v>1341811</v>
      </c>
      <c r="E93" s="270">
        <f>IF(ISBLANK(D93),"-",$D$101/$D$98*D93)</f>
        <v>1401832.563975455</v>
      </c>
      <c r="F93" s="269">
        <v>1400254</v>
      </c>
      <c r="G93" s="271">
        <f>IF(ISBLANK(F93),"-",$D$101/$F$98*F93)</f>
        <v>1401875.5494480464</v>
      </c>
      <c r="I93" s="501"/>
    </row>
    <row r="94" spans="1:12" ht="27" customHeight="1" x14ac:dyDescent="0.4">
      <c r="A94" s="256" t="s">
        <v>26</v>
      </c>
      <c r="B94" s="257">
        <v>1</v>
      </c>
      <c r="C94" s="346">
        <v>4</v>
      </c>
      <c r="D94" s="274"/>
      <c r="E94" s="275"/>
      <c r="F94" s="347"/>
      <c r="G94" s="276"/>
      <c r="I94" s="277"/>
    </row>
    <row r="95" spans="1:12" ht="27" customHeight="1" x14ac:dyDescent="0.4">
      <c r="A95" s="256" t="s">
        <v>27</v>
      </c>
      <c r="B95" s="257">
        <v>1</v>
      </c>
      <c r="C95" s="348" t="s">
        <v>28</v>
      </c>
      <c r="D95" s="349">
        <f>AVERAGE(D91:D94)</f>
        <v>1340532.6666666667</v>
      </c>
      <c r="E95" s="280">
        <f>AVERAGE(E91:E94)</f>
        <v>1400497.0485457247</v>
      </c>
      <c r="F95" s="350">
        <f>AVERAGE(F91:F94)</f>
        <v>1399659.3333333333</v>
      </c>
      <c r="G95" s="351">
        <f>AVERAGE(G91:G94)</f>
        <v>1401280.1941338878</v>
      </c>
    </row>
    <row r="96" spans="1:12" ht="26.25" customHeight="1" x14ac:dyDescent="0.4">
      <c r="A96" s="256" t="s">
        <v>29</v>
      </c>
      <c r="B96" s="242">
        <v>1</v>
      </c>
      <c r="C96" s="352" t="s">
        <v>30</v>
      </c>
      <c r="D96" s="353">
        <v>19.3</v>
      </c>
      <c r="E96" s="272"/>
      <c r="F96" s="284">
        <v>20.14</v>
      </c>
    </row>
    <row r="97" spans="1:10" ht="26.25" customHeight="1" x14ac:dyDescent="0.4">
      <c r="A97" s="256" t="s">
        <v>31</v>
      </c>
      <c r="B97" s="242">
        <v>1</v>
      </c>
      <c r="C97" s="354" t="s">
        <v>32</v>
      </c>
      <c r="D97" s="355">
        <f>D96*$B$87</f>
        <v>19.3</v>
      </c>
      <c r="E97" s="287"/>
      <c r="F97" s="286">
        <f>F96*$B$87</f>
        <v>20.14</v>
      </c>
    </row>
    <row r="98" spans="1:10" ht="19.5" customHeight="1" x14ac:dyDescent="0.3">
      <c r="A98" s="256" t="s">
        <v>33</v>
      </c>
      <c r="B98" s="356">
        <f>(B97/B96)*(B95/B94)*(B93/B92)*(B91/B90)*B89</f>
        <v>20</v>
      </c>
      <c r="C98" s="354" t="s">
        <v>34</v>
      </c>
      <c r="D98" s="357">
        <f>D97*$B$83/100</f>
        <v>19.14367</v>
      </c>
      <c r="E98" s="290"/>
      <c r="F98" s="289">
        <f>F97*$B$83/100</f>
        <v>19.976866000000001</v>
      </c>
    </row>
    <row r="99" spans="1:10" ht="19.5" customHeight="1" x14ac:dyDescent="0.3">
      <c r="A99" s="502" t="s">
        <v>35</v>
      </c>
      <c r="B99" s="516"/>
      <c r="C99" s="354" t="s">
        <v>36</v>
      </c>
      <c r="D99" s="358">
        <f>D98/$B$98</f>
        <v>0.95718349999999996</v>
      </c>
      <c r="E99" s="290"/>
      <c r="F99" s="293">
        <f>F98/$B$98</f>
        <v>0.9988433000000001</v>
      </c>
      <c r="G99" s="359"/>
      <c r="H99" s="282"/>
    </row>
    <row r="100" spans="1:10" ht="19.5" customHeight="1" x14ac:dyDescent="0.3">
      <c r="A100" s="504"/>
      <c r="B100" s="517"/>
      <c r="C100" s="354" t="s">
        <v>94</v>
      </c>
      <c r="D100" s="360">
        <v>1</v>
      </c>
      <c r="F100" s="298"/>
      <c r="G100" s="361"/>
      <c r="H100" s="282"/>
    </row>
    <row r="101" spans="1:10" x14ac:dyDescent="0.3">
      <c r="C101" s="354" t="s">
        <v>37</v>
      </c>
      <c r="D101" s="355">
        <f>D100*$B$98</f>
        <v>20</v>
      </c>
      <c r="F101" s="298"/>
      <c r="G101" s="359"/>
      <c r="H101" s="282"/>
    </row>
    <row r="102" spans="1:10" ht="19.5" customHeight="1" x14ac:dyDescent="0.3">
      <c r="C102" s="362" t="s">
        <v>38</v>
      </c>
      <c r="D102" s="363">
        <f>D101/B34</f>
        <v>20</v>
      </c>
      <c r="F102" s="302"/>
      <c r="G102" s="359"/>
      <c r="H102" s="282"/>
      <c r="J102" s="364"/>
    </row>
    <row r="103" spans="1:10" x14ac:dyDescent="0.3">
      <c r="C103" s="365" t="s">
        <v>62</v>
      </c>
      <c r="D103" s="366">
        <f>AVERAGE(E91:E94,G91:G94)</f>
        <v>1400888.6213398061</v>
      </c>
      <c r="F103" s="302"/>
      <c r="G103" s="367"/>
      <c r="H103" s="282"/>
      <c r="J103" s="368"/>
    </row>
    <row r="104" spans="1:10" x14ac:dyDescent="0.3">
      <c r="C104" s="332" t="s">
        <v>40</v>
      </c>
      <c r="D104" s="369">
        <f>STDEV(E91:E94,G91:G94)/D103</f>
        <v>1.4556793710796614E-3</v>
      </c>
      <c r="F104" s="302"/>
      <c r="G104" s="359"/>
      <c r="H104" s="282"/>
      <c r="J104" s="368"/>
    </row>
    <row r="105" spans="1:10" ht="19.5" customHeight="1" x14ac:dyDescent="0.3">
      <c r="C105" s="334" t="s">
        <v>41</v>
      </c>
      <c r="D105" s="370">
        <f>COUNT(E91:E94,G91:G94)</f>
        <v>6</v>
      </c>
      <c r="F105" s="302"/>
      <c r="G105" s="359"/>
      <c r="H105" s="282"/>
      <c r="J105" s="368"/>
    </row>
    <row r="106" spans="1:10" ht="19.5" customHeight="1" x14ac:dyDescent="0.3">
      <c r="A106" s="306"/>
      <c r="B106" s="306"/>
      <c r="C106" s="306"/>
      <c r="D106" s="306"/>
      <c r="E106" s="306"/>
    </row>
    <row r="107" spans="1:10" ht="26.25" customHeight="1" x14ac:dyDescent="0.4">
      <c r="A107" s="254" t="s">
        <v>63</v>
      </c>
      <c r="B107" s="255">
        <v>500</v>
      </c>
      <c r="C107" s="371" t="s">
        <v>64</v>
      </c>
      <c r="D107" s="372" t="s">
        <v>21</v>
      </c>
      <c r="E107" s="373" t="s">
        <v>65</v>
      </c>
      <c r="F107" s="374" t="s">
        <v>66</v>
      </c>
    </row>
    <row r="108" spans="1:10" ht="26.25" customHeight="1" x14ac:dyDescent="0.4">
      <c r="A108" s="256" t="s">
        <v>48</v>
      </c>
      <c r="B108" s="257">
        <v>1</v>
      </c>
      <c r="C108" s="375">
        <v>1</v>
      </c>
      <c r="D108" s="376">
        <v>1098989</v>
      </c>
      <c r="E108" s="411">
        <f>IF(ISBLANK(D108),"-",D108/$D$103*$D$100*$B$116)</f>
        <v>392.2471006113712</v>
      </c>
      <c r="F108" s="377">
        <f>IF(ISBLANK(D108), "-", E108/$B$56)</f>
        <v>0.78449420122274238</v>
      </c>
    </row>
    <row r="109" spans="1:10" ht="26.25" customHeight="1" x14ac:dyDescent="0.4">
      <c r="A109" s="256" t="s">
        <v>50</v>
      </c>
      <c r="B109" s="257">
        <v>1</v>
      </c>
      <c r="C109" s="375">
        <v>2</v>
      </c>
      <c r="D109" s="376">
        <v>549030</v>
      </c>
      <c r="E109" s="412">
        <f>IF(ISBLANK(D109),"-",D109/$D$103*$D$100*$B$116)</f>
        <v>195.95776267884494</v>
      </c>
      <c r="F109" s="378">
        <f>IF(ISBLANK(D109), "-", E109/$B$56)</f>
        <v>0.39191552535768986</v>
      </c>
    </row>
    <row r="110" spans="1:10" ht="26.25" customHeight="1" x14ac:dyDescent="0.4">
      <c r="A110" s="256" t="s">
        <v>51</v>
      </c>
      <c r="B110" s="257">
        <v>1</v>
      </c>
      <c r="C110" s="375">
        <v>3</v>
      </c>
      <c r="D110" s="376">
        <v>1086109</v>
      </c>
      <c r="E110" s="412"/>
      <c r="F110" s="378"/>
    </row>
    <row r="111" spans="1:10" ht="26.25" customHeight="1" x14ac:dyDescent="0.4">
      <c r="A111" s="256" t="s">
        <v>52</v>
      </c>
      <c r="B111" s="257">
        <v>1</v>
      </c>
      <c r="C111" s="375">
        <v>4</v>
      </c>
      <c r="D111" s="376">
        <v>1100445</v>
      </c>
      <c r="E111" s="412"/>
      <c r="F111" s="378"/>
    </row>
    <row r="112" spans="1:10" ht="26.25" customHeight="1" x14ac:dyDescent="0.4">
      <c r="A112" s="256" t="s">
        <v>53</v>
      </c>
      <c r="B112" s="257">
        <v>1</v>
      </c>
      <c r="C112" s="375">
        <v>5</v>
      </c>
      <c r="D112" s="376"/>
      <c r="E112" s="412"/>
      <c r="F112" s="378"/>
    </row>
    <row r="113" spans="1:10" ht="26.25" customHeight="1" x14ac:dyDescent="0.4">
      <c r="A113" s="256" t="s">
        <v>55</v>
      </c>
      <c r="B113" s="257">
        <v>1</v>
      </c>
      <c r="C113" s="379">
        <v>6</v>
      </c>
      <c r="D113" s="380"/>
      <c r="E113" s="413"/>
      <c r="F113" s="381"/>
    </row>
    <row r="114" spans="1:10" ht="26.25" customHeight="1" x14ac:dyDescent="0.4">
      <c r="A114" s="256" t="s">
        <v>56</v>
      </c>
      <c r="B114" s="257">
        <v>1</v>
      </c>
      <c r="C114" s="375"/>
      <c r="D114" s="329"/>
      <c r="E114" s="230"/>
      <c r="F114" s="382"/>
    </row>
    <row r="115" spans="1:10" ht="26.25" customHeight="1" x14ac:dyDescent="0.4">
      <c r="A115" s="256" t="s">
        <v>57</v>
      </c>
      <c r="B115" s="257">
        <v>1</v>
      </c>
      <c r="C115" s="375"/>
      <c r="D115" s="383"/>
      <c r="E115" s="384" t="s">
        <v>28</v>
      </c>
      <c r="F115" s="385">
        <f>AVERAGE(F108:F113)</f>
        <v>0.58820486329021615</v>
      </c>
    </row>
    <row r="116" spans="1:10" ht="27" customHeight="1" x14ac:dyDescent="0.4">
      <c r="A116" s="256" t="s">
        <v>58</v>
      </c>
      <c r="B116" s="288">
        <f>(B115/B114)*(B113/B112)*(B111/B110)*(B109/B108)*B107</f>
        <v>500</v>
      </c>
      <c r="C116" s="386"/>
      <c r="D116" s="387"/>
      <c r="E116" s="348" t="s">
        <v>40</v>
      </c>
      <c r="F116" s="388">
        <f>STDEV(F108:F113)/F115</f>
        <v>0.47193598893528799</v>
      </c>
      <c r="I116" s="230"/>
    </row>
    <row r="117" spans="1:10" ht="27" customHeight="1" x14ac:dyDescent="0.4">
      <c r="A117" s="502" t="s">
        <v>35</v>
      </c>
      <c r="B117" s="503"/>
      <c r="C117" s="389"/>
      <c r="D117" s="390"/>
      <c r="E117" s="391" t="s">
        <v>41</v>
      </c>
      <c r="F117" s="392">
        <f>COUNT(F108:F113)</f>
        <v>2</v>
      </c>
      <c r="I117" s="230"/>
      <c r="J117" s="368"/>
    </row>
    <row r="118" spans="1:10" ht="19.5" customHeight="1" x14ac:dyDescent="0.3">
      <c r="A118" s="504"/>
      <c r="B118" s="505"/>
      <c r="C118" s="230"/>
      <c r="D118" s="230"/>
      <c r="E118" s="230"/>
      <c r="F118" s="329"/>
      <c r="G118" s="230"/>
      <c r="H118" s="230"/>
      <c r="I118" s="230"/>
    </row>
    <row r="119" spans="1:10" x14ac:dyDescent="0.3">
      <c r="A119" s="401"/>
      <c r="B119" s="252"/>
      <c r="C119" s="230"/>
      <c r="D119" s="230"/>
      <c r="E119" s="230"/>
      <c r="F119" s="329"/>
      <c r="G119" s="230"/>
      <c r="H119" s="230"/>
      <c r="I119" s="230"/>
    </row>
    <row r="120" spans="1:10" ht="26.25" customHeight="1" x14ac:dyDescent="0.4">
      <c r="A120" s="240" t="s">
        <v>99</v>
      </c>
      <c r="B120" s="336" t="s">
        <v>105</v>
      </c>
      <c r="C120" s="514" t="str">
        <f>B20</f>
        <v>Glimepiride 1mg, Metformin HCl 500mg</v>
      </c>
      <c r="D120" s="514"/>
      <c r="E120" s="337" t="s">
        <v>106</v>
      </c>
      <c r="F120" s="337"/>
      <c r="G120" s="338">
        <f>F115</f>
        <v>0.58820486329021615</v>
      </c>
      <c r="H120" s="230"/>
      <c r="I120" s="230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x14ac:dyDescent="0.3">
      <c r="B122" s="515" t="s">
        <v>67</v>
      </c>
      <c r="C122" s="515"/>
      <c r="E122" s="343" t="s">
        <v>68</v>
      </c>
      <c r="F122" s="395"/>
      <c r="G122" s="515" t="s">
        <v>69</v>
      </c>
      <c r="H122" s="515"/>
    </row>
    <row r="123" spans="1:10" ht="69.95" customHeight="1" x14ac:dyDescent="0.3">
      <c r="A123" s="396" t="s">
        <v>70</v>
      </c>
      <c r="B123" s="397"/>
      <c r="C123" s="397"/>
      <c r="E123" s="397"/>
      <c r="F123" s="230"/>
      <c r="G123" s="398"/>
      <c r="H123" s="398"/>
    </row>
    <row r="124" spans="1:10" ht="69.95" customHeight="1" x14ac:dyDescent="0.3">
      <c r="A124" s="396" t="s">
        <v>71</v>
      </c>
      <c r="B124" s="399"/>
      <c r="C124" s="399"/>
      <c r="E124" s="399"/>
      <c r="F124" s="230"/>
      <c r="G124" s="400"/>
      <c r="H124" s="400"/>
    </row>
    <row r="125" spans="1:10" x14ac:dyDescent="0.3">
      <c r="A125" s="328"/>
      <c r="B125" s="328"/>
      <c r="C125" s="329"/>
      <c r="D125" s="329"/>
      <c r="E125" s="329"/>
      <c r="F125" s="333"/>
      <c r="G125" s="329"/>
      <c r="H125" s="329"/>
      <c r="I125" s="230"/>
    </row>
    <row r="126" spans="1:10" x14ac:dyDescent="0.3">
      <c r="A126" s="328"/>
      <c r="B126" s="328"/>
      <c r="C126" s="329"/>
      <c r="D126" s="329"/>
      <c r="E126" s="329"/>
      <c r="F126" s="333"/>
      <c r="G126" s="329"/>
      <c r="H126" s="329"/>
      <c r="I126" s="230"/>
    </row>
    <row r="127" spans="1:10" x14ac:dyDescent="0.3">
      <c r="A127" s="328"/>
      <c r="B127" s="328"/>
      <c r="C127" s="329"/>
      <c r="D127" s="329"/>
      <c r="E127" s="329"/>
      <c r="F127" s="333"/>
      <c r="G127" s="329"/>
      <c r="H127" s="329"/>
      <c r="I127" s="230"/>
    </row>
    <row r="128" spans="1:10" x14ac:dyDescent="0.3">
      <c r="A128" s="328"/>
      <c r="B128" s="328"/>
      <c r="C128" s="329"/>
      <c r="D128" s="329"/>
      <c r="E128" s="329"/>
      <c r="F128" s="333"/>
      <c r="G128" s="329"/>
      <c r="H128" s="329"/>
      <c r="I128" s="230"/>
    </row>
    <row r="129" spans="1:9" x14ac:dyDescent="0.3">
      <c r="A129" s="328"/>
      <c r="B129" s="328"/>
      <c r="C129" s="329"/>
      <c r="D129" s="329"/>
      <c r="E129" s="329"/>
      <c r="F129" s="333"/>
      <c r="G129" s="329"/>
      <c r="H129" s="329"/>
      <c r="I129" s="230"/>
    </row>
    <row r="130" spans="1:9" x14ac:dyDescent="0.3">
      <c r="A130" s="328"/>
      <c r="B130" s="328"/>
      <c r="C130" s="329"/>
      <c r="D130" s="329"/>
      <c r="E130" s="329"/>
      <c r="F130" s="333"/>
      <c r="G130" s="329"/>
      <c r="H130" s="329"/>
      <c r="I130" s="230"/>
    </row>
    <row r="131" spans="1:9" x14ac:dyDescent="0.3">
      <c r="A131" s="328"/>
      <c r="B131" s="328"/>
      <c r="C131" s="329"/>
      <c r="D131" s="329"/>
      <c r="E131" s="329"/>
      <c r="F131" s="333"/>
      <c r="G131" s="329"/>
      <c r="H131" s="329"/>
      <c r="I131" s="230"/>
    </row>
    <row r="132" spans="1:9" x14ac:dyDescent="0.3">
      <c r="A132" s="328"/>
      <c r="B132" s="328"/>
      <c r="C132" s="329"/>
      <c r="D132" s="329"/>
      <c r="E132" s="329"/>
      <c r="F132" s="333"/>
      <c r="G132" s="329"/>
      <c r="H132" s="329"/>
      <c r="I132" s="230"/>
    </row>
    <row r="133" spans="1:9" x14ac:dyDescent="0.3">
      <c r="A133" s="328"/>
      <c r="B133" s="328"/>
      <c r="C133" s="329"/>
      <c r="D133" s="329"/>
      <c r="E133" s="329"/>
      <c r="F133" s="333"/>
      <c r="G133" s="329"/>
      <c r="H133" s="329"/>
      <c r="I133" s="230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Uniformity</vt:lpstr>
      <vt:lpstr>Glimepriride SST</vt:lpstr>
      <vt:lpstr>Metformin HCl SST </vt:lpstr>
      <vt:lpstr>Glimepriride</vt:lpstr>
      <vt:lpstr>Glimepriride (Diss 2)</vt:lpstr>
      <vt:lpstr>Metformin HCl</vt:lpstr>
      <vt:lpstr>Glimepriride!Print_Area</vt:lpstr>
      <vt:lpstr>'Glimepriride (Diss 2)'!Print_Area</vt:lpstr>
      <vt:lpstr>'Glimepriride SST'!Print_Area</vt:lpstr>
      <vt:lpstr>'Metformin HCl'!Print_Area</vt:lpstr>
      <vt:lpstr>'Metformin HCl SST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2018-03-13T12:42:07Z</cp:lastPrinted>
  <dcterms:created xsi:type="dcterms:W3CDTF">2005-07-05T10:19:27Z</dcterms:created>
  <dcterms:modified xsi:type="dcterms:W3CDTF">2018-03-13T12:42:09Z</dcterms:modified>
</cp:coreProperties>
</file>