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90" yWindow="540" windowWidth="10215" windowHeight="8640" activeTab="2"/>
  </bookViews>
  <sheets>
    <sheet name="Uniformity" sheetId="2" r:id="rId1"/>
    <sheet name="Glimepriride SST" sheetId="5" r:id="rId2"/>
    <sheet name="Metformin HCl SST " sheetId="6" r:id="rId3"/>
    <sheet name="Glimepriride" sheetId="3" r:id="rId4"/>
    <sheet name="Glimepriride (Diss 2)" sheetId="8" r:id="rId5"/>
    <sheet name="Metformin HCl" sheetId="4" r:id="rId6"/>
  </sheets>
  <externalReferences>
    <externalReference r:id="rId7"/>
  </externalReferences>
  <definedNames>
    <definedName name="_xlnm.Print_Area" localSheetId="3">Glimepriride!$A$1:$I$125</definedName>
    <definedName name="_xlnm.Print_Area" localSheetId="4">'Glimepriride (Diss 2)'!$A$77:$I$125</definedName>
    <definedName name="_xlnm.Print_Area" localSheetId="1">'Glimepriride SST'!$A$1:$E$61</definedName>
    <definedName name="_xlnm.Print_Area" localSheetId="5">'Metformin HCl'!$A$1:$H$126</definedName>
    <definedName name="_xlnm.Print_Area" localSheetId="2">'Metformin HCl SST '!$A$1:$E$61</definedName>
    <definedName name="_xlnm.Print_Area" localSheetId="0">Uniformity!$A$1:$F$54</definedName>
  </definedNames>
  <calcPr calcId="162913" calcMode="manual"/>
</workbook>
</file>

<file path=xl/calcChain.xml><?xml version="1.0" encoding="utf-8"?>
<calcChain xmlns="http://schemas.openxmlformats.org/spreadsheetml/2006/main">
  <c r="B53" i="5" l="1"/>
  <c r="B51" i="5"/>
  <c r="B52" i="5" s="1"/>
  <c r="B41" i="5"/>
  <c r="B42" i="5" s="1"/>
  <c r="B40" i="5"/>
  <c r="E51" i="5"/>
  <c r="D51" i="5"/>
  <c r="C51" i="5"/>
  <c r="B39" i="5"/>
  <c r="B17" i="6"/>
  <c r="D95" i="8" l="1"/>
  <c r="D101" i="8"/>
  <c r="G92" i="8" s="1"/>
  <c r="D100" i="8"/>
  <c r="D97" i="8"/>
  <c r="D98" i="8" s="1"/>
  <c r="F95" i="8"/>
  <c r="B83" i="8"/>
  <c r="B81" i="8"/>
  <c r="C120" i="8"/>
  <c r="B116" i="8"/>
  <c r="B98" i="8"/>
  <c r="I92" i="8"/>
  <c r="B87" i="8"/>
  <c r="F97" i="8" s="1"/>
  <c r="F98" i="8" s="1"/>
  <c r="B80" i="8"/>
  <c r="B79" i="8"/>
  <c r="C76" i="8"/>
  <c r="B68" i="8"/>
  <c r="B69" i="8" s="1"/>
  <c r="B57" i="8"/>
  <c r="C56" i="8"/>
  <c r="B55" i="8"/>
  <c r="D48" i="8"/>
  <c r="B45" i="8"/>
  <c r="F44" i="8"/>
  <c r="F45" i="8" s="1"/>
  <c r="F42" i="8"/>
  <c r="D42" i="8"/>
  <c r="I39" i="8"/>
  <c r="B34" i="8"/>
  <c r="D44" i="8" s="1"/>
  <c r="D45" i="8" s="1"/>
  <c r="B30" i="8"/>
  <c r="B30" i="3"/>
  <c r="B30" i="4"/>
  <c r="D46" i="8" l="1"/>
  <c r="E39" i="8"/>
  <c r="F46" i="8"/>
  <c r="G40" i="8"/>
  <c r="E40" i="8"/>
  <c r="F99" i="8"/>
  <c r="G93" i="8"/>
  <c r="E93" i="8"/>
  <c r="D99" i="8"/>
  <c r="G39" i="8"/>
  <c r="D49" i="8"/>
  <c r="E38" i="8"/>
  <c r="E91" i="8"/>
  <c r="G91" i="8"/>
  <c r="G38" i="8"/>
  <c r="G42" i="8" s="1"/>
  <c r="D102" i="8"/>
  <c r="E92" i="8"/>
  <c r="G95" i="8" l="1"/>
  <c r="D103" i="8"/>
  <c r="E95" i="8"/>
  <c r="D105" i="8"/>
  <c r="D50" i="8"/>
  <c r="E42" i="8"/>
  <c r="D52" i="8"/>
  <c r="D51" i="8" l="1"/>
  <c r="G66" i="8"/>
  <c r="H66" i="8" s="1"/>
  <c r="G64" i="8"/>
  <c r="H64" i="8" s="1"/>
  <c r="G61" i="8"/>
  <c r="H61" i="8" s="1"/>
  <c r="G69" i="8"/>
  <c r="H69" i="8" s="1"/>
  <c r="G62" i="8"/>
  <c r="H62" i="8" s="1"/>
  <c r="G68" i="8"/>
  <c r="H68" i="8" s="1"/>
  <c r="G65" i="8"/>
  <c r="H65" i="8" s="1"/>
  <c r="G60" i="8"/>
  <c r="H60" i="8" s="1"/>
  <c r="E111" i="8"/>
  <c r="F111" i="8" s="1"/>
  <c r="E108" i="8"/>
  <c r="F108" i="8" s="1"/>
  <c r="E110" i="8"/>
  <c r="F110" i="8" s="1"/>
  <c r="E113" i="8"/>
  <c r="F113" i="8" s="1"/>
  <c r="E109" i="8"/>
  <c r="F109" i="8" s="1"/>
  <c r="E112" i="8"/>
  <c r="F112" i="8" s="1"/>
  <c r="D104" i="8"/>
  <c r="G117" i="8" l="1"/>
  <c r="F117" i="8"/>
  <c r="F115" i="8"/>
  <c r="H72" i="8"/>
  <c r="H74" i="8"/>
  <c r="H73" i="8" l="1"/>
  <c r="G76" i="8"/>
  <c r="G120" i="8"/>
  <c r="F116" i="8"/>
  <c r="B18" i="6" l="1"/>
  <c r="B18" i="5"/>
  <c r="B17" i="5"/>
  <c r="B53" i="6"/>
  <c r="E51" i="6"/>
  <c r="D51" i="6"/>
  <c r="C51" i="6"/>
  <c r="B51" i="6"/>
  <c r="B52" i="6" s="1"/>
  <c r="B32" i="6"/>
  <c r="E30" i="6"/>
  <c r="D30" i="6"/>
  <c r="C30" i="6"/>
  <c r="B30" i="6"/>
  <c r="B31" i="6" s="1"/>
  <c r="B20" i="6"/>
  <c r="B21" i="6" s="1"/>
  <c r="B19" i="6"/>
  <c r="B32" i="5"/>
  <c r="E30" i="5"/>
  <c r="D30" i="5"/>
  <c r="C30" i="5"/>
  <c r="B30" i="5"/>
  <c r="B31" i="5" s="1"/>
  <c r="B20" i="5"/>
  <c r="B21" i="5" s="1"/>
  <c r="B19" i="5"/>
  <c r="B98" i="4" l="1"/>
  <c r="B87" i="3" l="1"/>
  <c r="D100" i="3"/>
  <c r="B116" i="3"/>
  <c r="B116" i="4"/>
  <c r="D100" i="4"/>
  <c r="B87" i="4"/>
  <c r="B68" i="3" l="1"/>
  <c r="B45" i="3"/>
  <c r="B34" i="3"/>
  <c r="B68" i="4"/>
  <c r="B45" i="4"/>
  <c r="B34" i="4"/>
  <c r="C120" i="4"/>
  <c r="F95" i="4"/>
  <c r="D95" i="4"/>
  <c r="F97" i="4"/>
  <c r="B81" i="4"/>
  <c r="B83" i="4" s="1"/>
  <c r="B80" i="4"/>
  <c r="B79" i="4"/>
  <c r="C76" i="4"/>
  <c r="C56" i="4"/>
  <c r="B55" i="4"/>
  <c r="D48" i="4"/>
  <c r="F42" i="4"/>
  <c r="D42" i="4"/>
  <c r="F44" i="4"/>
  <c r="C120" i="3"/>
  <c r="B98" i="3"/>
  <c r="D101" i="3" s="1"/>
  <c r="F95" i="3"/>
  <c r="D95" i="3"/>
  <c r="B81" i="3"/>
  <c r="B83" i="3" s="1"/>
  <c r="B80" i="3"/>
  <c r="B79" i="3"/>
  <c r="C76" i="3"/>
  <c r="C56" i="3"/>
  <c r="B55" i="3"/>
  <c r="D48" i="3"/>
  <c r="F42" i="3"/>
  <c r="D42" i="3"/>
  <c r="D44" i="3"/>
  <c r="C46" i="2"/>
  <c r="B57" i="3" s="1"/>
  <c r="B69" i="3" s="1"/>
  <c r="C45" i="2"/>
  <c r="C19" i="2"/>
  <c r="G93" i="3" l="1"/>
  <c r="D29" i="2"/>
  <c r="D37" i="2"/>
  <c r="D41" i="2"/>
  <c r="D50" i="2"/>
  <c r="D26" i="2"/>
  <c r="D30" i="2"/>
  <c r="D34" i="2"/>
  <c r="D38" i="2"/>
  <c r="D42" i="2"/>
  <c r="B49" i="2"/>
  <c r="D27" i="2"/>
  <c r="D31" i="2"/>
  <c r="D35" i="2"/>
  <c r="D39" i="2"/>
  <c r="D43" i="2"/>
  <c r="C49" i="2"/>
  <c r="D25" i="2"/>
  <c r="D33" i="2"/>
  <c r="D24" i="2"/>
  <c r="D28" i="2"/>
  <c r="D32" i="2"/>
  <c r="D36" i="2"/>
  <c r="D40" i="2"/>
  <c r="D49" i="2"/>
  <c r="F98" i="4"/>
  <c r="I92" i="3"/>
  <c r="I92" i="4"/>
  <c r="D101" i="4"/>
  <c r="F99" i="4"/>
  <c r="D97" i="4"/>
  <c r="D98" i="4" s="1"/>
  <c r="I39" i="4"/>
  <c r="D44" i="4"/>
  <c r="D45" i="4" s="1"/>
  <c r="F45" i="4"/>
  <c r="F46" i="4" s="1"/>
  <c r="G40" i="4"/>
  <c r="F44" i="3"/>
  <c r="F45" i="3" s="1"/>
  <c r="D49" i="4"/>
  <c r="I39" i="3"/>
  <c r="D49" i="3"/>
  <c r="D45" i="3"/>
  <c r="E40" i="3" s="1"/>
  <c r="D97" i="3"/>
  <c r="D98" i="3" s="1"/>
  <c r="E93" i="3" s="1"/>
  <c r="F97" i="3"/>
  <c r="F98" i="3" s="1"/>
  <c r="B57" i="4"/>
  <c r="B69" i="4" s="1"/>
  <c r="C50" i="2"/>
  <c r="G92" i="4" l="1"/>
  <c r="E91" i="4"/>
  <c r="G91" i="4"/>
  <c r="F99" i="3"/>
  <c r="G91" i="3"/>
  <c r="D99" i="3"/>
  <c r="E91" i="3"/>
  <c r="G93" i="4"/>
  <c r="D102" i="4"/>
  <c r="D99" i="4"/>
  <c r="E92" i="4"/>
  <c r="E93" i="4"/>
  <c r="E38" i="3"/>
  <c r="G38" i="3"/>
  <c r="G39" i="4"/>
  <c r="D46" i="4"/>
  <c r="E40" i="4"/>
  <c r="G38" i="4"/>
  <c r="E38" i="4"/>
  <c r="E39" i="4"/>
  <c r="D102" i="3"/>
  <c r="E92" i="3"/>
  <c r="G92" i="3"/>
  <c r="D46" i="3"/>
  <c r="E39" i="3"/>
  <c r="G39" i="3"/>
  <c r="G40" i="3"/>
  <c r="G42" i="3" s="1"/>
  <c r="F46" i="3"/>
  <c r="D105" i="3" l="1"/>
  <c r="D103" i="3"/>
  <c r="D104" i="3" s="1"/>
  <c r="D105" i="4"/>
  <c r="G95" i="4"/>
  <c r="D103" i="4"/>
  <c r="E95" i="4"/>
  <c r="D50" i="3"/>
  <c r="D52" i="3"/>
  <c r="E42" i="3"/>
  <c r="G95" i="3"/>
  <c r="D50" i="4"/>
  <c r="G70" i="4" s="1"/>
  <c r="H70" i="4" s="1"/>
  <c r="G42" i="4"/>
  <c r="D52" i="4"/>
  <c r="E42" i="4"/>
  <c r="E108" i="3"/>
  <c r="F108" i="3" s="1"/>
  <c r="E95" i="3"/>
  <c r="G69" i="3" l="1"/>
  <c r="H69" i="3" s="1"/>
  <c r="G60" i="3"/>
  <c r="H60" i="3" s="1"/>
  <c r="D51" i="4"/>
  <c r="D104" i="4"/>
  <c r="G65" i="3"/>
  <c r="H65" i="3" s="1"/>
  <c r="G62" i="3"/>
  <c r="H62" i="3" s="1"/>
  <c r="D51" i="3"/>
  <c r="G68" i="3"/>
  <c r="H68" i="3" s="1"/>
  <c r="G66" i="3"/>
  <c r="H66" i="3" s="1"/>
  <c r="G64" i="3"/>
  <c r="H64" i="3" s="1"/>
  <c r="G61" i="3"/>
  <c r="H61" i="3" s="1"/>
  <c r="G64" i="4"/>
  <c r="H64" i="4" s="1"/>
  <c r="G62" i="4"/>
  <c r="H62" i="4" s="1"/>
  <c r="G66" i="4"/>
  <c r="H66" i="4" s="1"/>
  <c r="G65" i="4"/>
  <c r="H65" i="4" s="1"/>
  <c r="G69" i="4"/>
  <c r="H69" i="4" s="1"/>
  <c r="G68" i="4"/>
  <c r="H68" i="4" s="1"/>
  <c r="G60" i="4"/>
  <c r="H60" i="4" s="1"/>
  <c r="G61" i="4"/>
  <c r="H61" i="4" s="1"/>
  <c r="E113" i="3"/>
  <c r="F113" i="3" s="1"/>
  <c r="E111" i="3"/>
  <c r="F111" i="3" s="1"/>
  <c r="E109" i="3"/>
  <c r="F109" i="3" s="1"/>
  <c r="G115" i="8" s="1"/>
  <c r="G116" i="8" s="1"/>
  <c r="E110" i="3"/>
  <c r="F110" i="3" s="1"/>
  <c r="E112" i="3"/>
  <c r="F112" i="3" s="1"/>
  <c r="F117" i="4" l="1"/>
  <c r="F115" i="4"/>
  <c r="H74" i="3"/>
  <c r="H72" i="3"/>
  <c r="G76" i="3" s="1"/>
  <c r="H72" i="4"/>
  <c r="G76" i="4" s="1"/>
  <c r="H74" i="4"/>
  <c r="F117" i="3"/>
  <c r="F115" i="3"/>
  <c r="G120" i="3" s="1"/>
  <c r="F116" i="4" l="1"/>
  <c r="H73" i="3"/>
  <c r="H73" i="4"/>
  <c r="F116" i="3"/>
</calcChain>
</file>

<file path=xl/sharedStrings.xml><?xml version="1.0" encoding="utf-8"?>
<sst xmlns="http://schemas.openxmlformats.org/spreadsheetml/2006/main" count="600" uniqueCount="133">
  <si>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</si>
  <si>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</si>
  <si>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</si>
  <si>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</si>
  <si>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</si>
  <si>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</si>
  <si>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</si>
  <si>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</si>
  <si>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</si>
  <si>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</si>
  <si>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</si>
  <si>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</si>
  <si>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</si>
  <si>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</si>
  <si>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</si>
  <si>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</si>
  <si>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</si>
  <si>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</si>
  <si>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</si>
  <si>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</si>
  <si>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</si>
  <si>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</si>
  <si>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</si>
  <si>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</si>
  <si>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</si>
  <si>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</si>
  <si>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</si>
  <si>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</si>
  <si>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</si>
  <si>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</si>
  <si>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</si>
  <si>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</si>
  <si>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</si>
  <si>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</si>
  <si>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</si>
  <si>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</si>
  <si>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</si>
  <si>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</si>
  <si>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</si>
  <si>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</si>
  <si>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</si>
  <si>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</si>
  <si>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</si>
  <si>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</si>
  <si>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</si>
  <si>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</si>
  <si>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</si>
  <si>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</si>
  <si>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</si>
  <si>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</si>
  <si>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</si>
  <si>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</si>
  <si>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</si>
  <si>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</si>
  <si>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</si>
  <si>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</si>
  <si>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</si>
  <si>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</si>
  <si>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</si>
  <si>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</si>
  <si>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</si>
  <si>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</si>
  <si>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</si>
  <si>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</si>
  <si>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</si>
  <si>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</si>
  <si>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</si>
  <si>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</si>
  <si>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</si>
  <si>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</si>
  <si>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</si>
  <si>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</si>
  <si>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</si>
  <si>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</si>
  <si>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ORINASE-MET 2.0 TABLETS</t>
  </si>
  <si>
    <t>NDQD201410910</t>
  </si>
  <si>
    <t>Glimepiride 2mg, Metformin HCl 500mg</t>
  </si>
  <si>
    <t>2014-10-31 10:08:08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</si>
  <si>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</si>
  <si>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</si>
  <si>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</si>
  <si>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</si>
  <si>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</si>
  <si>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</si>
  <si>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</si>
  <si>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</si>
  <si>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</si>
  <si>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</si>
  <si>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</si>
  <si>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</si>
  <si>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</si>
  <si>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</si>
  <si>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</si>
  <si>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</si>
  <si>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</si>
  <si>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Tablet contains</t>
  </si>
  <si>
    <t>Average Tablet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</si>
  <si>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</si>
  <si>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</si>
  <si>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</si>
  <si>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</si>
  <si>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</si>
  <si>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</si>
  <si>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</si>
  <si>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</si>
  <si>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</si>
  <si>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</si>
  <si>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M19-1</t>
  </si>
  <si>
    <t>G</t>
  </si>
  <si>
    <t xml:space="preserve"> </t>
  </si>
  <si>
    <t>HPLC System Suitability Report</t>
  </si>
  <si>
    <t>Assay - Glimepiride</t>
  </si>
  <si>
    <t>Sample(s)</t>
  </si>
  <si>
    <t>Weight (mg):</t>
  </si>
  <si>
    <t>Standard Conc (mg/mL):</t>
  </si>
  <si>
    <t>2017-09-27 14:25:23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</si>
  <si>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</si>
  <si>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</si>
  <si>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</si>
  <si>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</si>
  <si>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</si>
  <si>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</si>
  <si>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</si>
  <si>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</si>
  <si>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</si>
  <si>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</si>
  <si>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</si>
  <si>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</si>
  <si>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 xml:space="preserve">Assay - Metformin HCl </t>
  </si>
  <si>
    <t>Glimepiride</t>
  </si>
  <si>
    <t>Metformin HCl</t>
  </si>
  <si>
    <t>SUMMARY</t>
  </si>
  <si>
    <t>Determination of Active Ingredient Dissolved -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</si>
</sst>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\ &quot;mg&quot;"/>
    <numFmt numFmtId="165" formatCode="0.000"/>
    <numFmt numFmtId="166" formatCode="0.0000"/>
    <numFmt numFmtId="167" formatCode="0.0%"/>
    <numFmt numFmtId="168" formatCode="0.00000"/>
    <numFmt numFmtId="169" formatCode="[$-409]d/mmm/yy;@"/>
    <numFmt numFmtId="170" formatCode="dd\-mmm\-yyyy"/>
    <numFmt numFmtId="171" formatCode="0.0\ &quot;mg&quot;"/>
    <numFmt numFmtId="172" formatCode="0.0"/>
  </numFmts>
  <fonts count="32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31" fillId="2" borderId="0"/>
  </cellStyleXfs>
  <cellXfs count="5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8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69" fontId="10" fillId="2" borderId="0" xfId="0" applyNumberFormat="1" applyFont="1" applyFill="1"/>
    <xf numFmtId="166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3" xfId="0" applyNumberFormat="1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right" vertical="center"/>
    </xf>
    <xf numFmtId="166" fontId="10" fillId="2" borderId="53" xfId="0" applyNumberFormat="1" applyFont="1" applyFill="1" applyBorder="1" applyAlignment="1">
      <alignment horizontal="center" vertical="center"/>
    </xf>
    <xf numFmtId="168" fontId="14" fillId="2" borderId="53" xfId="0" applyNumberFormat="1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wrapText="1"/>
    </xf>
    <xf numFmtId="168" fontId="14" fillId="2" borderId="53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3" xfId="0" applyFont="1" applyFill="1" applyBorder="1" applyAlignment="1">
      <alignment horizontal="center" vertical="center"/>
    </xf>
    <xf numFmtId="167" fontId="14" fillId="2" borderId="41" xfId="0" applyNumberFormat="1" applyFont="1" applyFill="1" applyBorder="1" applyAlignment="1">
      <alignment horizontal="center"/>
    </xf>
    <xf numFmtId="167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6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4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3" fillId="3" borderId="47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4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4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5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47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right"/>
    </xf>
    <xf numFmtId="0" fontId="17" fillId="5" borderId="4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4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left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8" fontId="28" fillId="2" borderId="0" xfId="1" applyNumberFormat="1" applyFont="1" applyFill="1" applyAlignment="1">
      <alignment horizontal="center"/>
    </xf>
    <xf numFmtId="0" fontId="28" fillId="2" borderId="55" xfId="1" applyFont="1" applyFill="1" applyBorder="1" applyAlignment="1">
      <alignment horizontal="center"/>
    </xf>
    <xf numFmtId="0" fontId="28" fillId="2" borderId="26" xfId="1" applyFont="1" applyFill="1" applyBorder="1" applyAlignment="1">
      <alignment horizontal="center"/>
    </xf>
    <xf numFmtId="0" fontId="25" fillId="2" borderId="56" xfId="1" applyFont="1" applyFill="1" applyBorder="1"/>
    <xf numFmtId="0" fontId="29" fillId="2" borderId="57" xfId="1" applyFont="1" applyFill="1" applyBorder="1" applyAlignment="1">
      <alignment horizontal="center"/>
    </xf>
    <xf numFmtId="0" fontId="30" fillId="5" borderId="57" xfId="1" applyFont="1" applyFill="1" applyBorder="1" applyAlignment="1" applyProtection="1">
      <alignment horizontal="center"/>
      <protection locked="0"/>
    </xf>
    <xf numFmtId="2" fontId="30" fillId="5" borderId="57" xfId="1" applyNumberFormat="1" applyFont="1" applyFill="1" applyBorder="1" applyAlignment="1" applyProtection="1">
      <alignment horizontal="center"/>
      <protection locked="0"/>
    </xf>
    <xf numFmtId="2" fontId="30" fillId="5" borderId="23" xfId="1" applyNumberFormat="1" applyFont="1" applyFill="1" applyBorder="1" applyAlignment="1" applyProtection="1">
      <alignment horizontal="center"/>
      <protection locked="0"/>
    </xf>
    <xf numFmtId="2" fontId="30" fillId="5" borderId="24" xfId="1" applyNumberFormat="1" applyFont="1" applyFill="1" applyBorder="1" applyAlignment="1" applyProtection="1">
      <alignment horizontal="center"/>
      <protection locked="0"/>
    </xf>
    <xf numFmtId="0" fontId="30" fillId="5" borderId="58" xfId="1" applyFont="1" applyFill="1" applyBorder="1" applyAlignment="1" applyProtection="1">
      <alignment horizontal="center"/>
      <protection locked="0"/>
    </xf>
    <xf numFmtId="2" fontId="30" fillId="5" borderId="58" xfId="1" applyNumberFormat="1" applyFont="1" applyFill="1" applyBorder="1" applyAlignment="1" applyProtection="1">
      <alignment horizontal="center"/>
      <protection locked="0"/>
    </xf>
    <xf numFmtId="2" fontId="30" fillId="5" borderId="25" xfId="1" applyNumberFormat="1" applyFont="1" applyFill="1" applyBorder="1" applyAlignment="1" applyProtection="1">
      <alignment horizontal="center"/>
      <protection locked="0"/>
    </xf>
    <xf numFmtId="0" fontId="29" fillId="2" borderId="59" xfId="1" applyFont="1" applyFill="1" applyBorder="1"/>
    <xf numFmtId="1" fontId="28" fillId="6" borderId="26" xfId="1" applyNumberFormat="1" applyFont="1" applyFill="1" applyBorder="1" applyAlignment="1">
      <alignment horizontal="center"/>
    </xf>
    <xf numFmtId="172" fontId="28" fillId="6" borderId="55" xfId="1" applyNumberFormat="1" applyFont="1" applyFill="1" applyBorder="1" applyAlignment="1">
      <alignment horizontal="center"/>
    </xf>
    <xf numFmtId="2" fontId="28" fillId="6" borderId="55" xfId="1" applyNumberFormat="1" applyFont="1" applyFill="1" applyBorder="1" applyAlignment="1">
      <alignment horizontal="center"/>
    </xf>
    <xf numFmtId="2" fontId="28" fillId="6" borderId="26" xfId="1" applyNumberFormat="1" applyFont="1" applyFill="1" applyBorder="1" applyAlignment="1">
      <alignment horizontal="center"/>
    </xf>
    <xf numFmtId="0" fontId="29" fillId="2" borderId="57" xfId="1" applyFont="1" applyFill="1" applyBorder="1"/>
    <xf numFmtId="10" fontId="28" fillId="7" borderId="55" xfId="1" applyNumberFormat="1" applyFont="1" applyFill="1" applyBorder="1" applyAlignment="1">
      <alignment horizontal="center"/>
    </xf>
    <xf numFmtId="167" fontId="28" fillId="2" borderId="0" xfId="1" applyNumberFormat="1" applyFont="1" applyFill="1" applyAlignment="1">
      <alignment horizontal="center"/>
    </xf>
    <xf numFmtId="0" fontId="29" fillId="2" borderId="0" xfId="1" applyFont="1" applyFill="1" applyBorder="1"/>
    <xf numFmtId="0" fontId="29" fillId="2" borderId="58" xfId="1" applyFont="1" applyFill="1" applyBorder="1"/>
    <xf numFmtId="0" fontId="28" fillId="6" borderId="55" xfId="1" applyFont="1" applyFill="1" applyBorder="1" applyAlignment="1">
      <alignment horizontal="center"/>
    </xf>
    <xf numFmtId="0" fontId="28" fillId="2" borderId="35" xfId="1" applyFont="1" applyFill="1" applyBorder="1" applyAlignment="1">
      <alignment horizontal="center"/>
    </xf>
    <xf numFmtId="0" fontId="29" fillId="2" borderId="35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2" fontId="30" fillId="5" borderId="59" xfId="1" applyNumberFormat="1" applyFont="1" applyFill="1" applyBorder="1" applyAlignment="1" applyProtection="1">
      <alignment horizontal="center"/>
      <protection locked="0"/>
    </xf>
    <xf numFmtId="1" fontId="28" fillId="6" borderId="55" xfId="1" applyNumberFormat="1" applyFont="1" applyFill="1" applyBorder="1" applyAlignment="1">
      <alignment horizontal="center"/>
    </xf>
    <xf numFmtId="0" fontId="29" fillId="2" borderId="28" xfId="1" applyFont="1" applyFill="1" applyBorder="1"/>
    <xf numFmtId="0" fontId="29" fillId="2" borderId="60" xfId="1" applyFont="1" applyFill="1" applyBorder="1"/>
    <xf numFmtId="0" fontId="25" fillId="2" borderId="39" xfId="1" applyFont="1" applyFill="1" applyBorder="1"/>
    <xf numFmtId="0" fontId="25" fillId="2" borderId="0" xfId="1" applyFont="1" applyFill="1" applyAlignment="1">
      <alignment horizontal="center"/>
    </xf>
    <xf numFmtId="10" fontId="25" fillId="2" borderId="39" xfId="1" applyNumberFormat="1" applyFont="1" applyFill="1" applyBorder="1"/>
    <xf numFmtId="0" fontId="23" fillId="2" borderId="0" xfId="1" applyFill="1"/>
    <xf numFmtId="0" fontId="24" fillId="2" borderId="34" xfId="1" applyFont="1" applyFill="1" applyBorder="1" applyAlignment="1"/>
    <xf numFmtId="0" fontId="24" fillId="2" borderId="34" xfId="1" applyFont="1" applyFill="1" applyBorder="1" applyAlignment="1">
      <alignment horizontal="center"/>
    </xf>
    <xf numFmtId="0" fontId="25" fillId="2" borderId="34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35" xfId="1" applyFont="1" applyFill="1" applyBorder="1"/>
    <xf numFmtId="0" fontId="24" fillId="2" borderId="42" xfId="1" applyFont="1" applyFill="1" applyBorder="1"/>
    <xf numFmtId="0" fontId="25" fillId="2" borderId="42" xfId="1" applyFont="1" applyFill="1" applyBorder="1"/>
    <xf numFmtId="0" fontId="17" fillId="5" borderId="40" xfId="2" applyFont="1" applyFill="1" applyBorder="1" applyAlignment="1" applyProtection="1">
      <alignment horizontal="center"/>
      <protection locked="0"/>
    </xf>
    <xf numFmtId="0" fontId="17" fillId="5" borderId="2" xfId="2" applyFont="1" applyFill="1" applyBorder="1" applyAlignment="1" applyProtection="1">
      <alignment horizontal="center"/>
      <protection locked="0"/>
    </xf>
    <xf numFmtId="0" fontId="17" fillId="5" borderId="9" xfId="2" applyFont="1" applyFill="1" applyBorder="1" applyAlignment="1" applyProtection="1">
      <alignment horizontal="center"/>
      <protection locked="0"/>
    </xf>
    <xf numFmtId="165" fontId="17" fillId="5" borderId="9" xfId="2" applyNumberFormat="1" applyFont="1" applyFill="1" applyBorder="1" applyAlignment="1" applyProtection="1">
      <alignment horizontal="center"/>
      <protection locked="0"/>
    </xf>
    <xf numFmtId="1" fontId="3" fillId="3" borderId="33" xfId="2" applyNumberFormat="1" applyFont="1" applyFill="1" applyBorder="1" applyAlignment="1">
      <alignment horizontal="center"/>
    </xf>
    <xf numFmtId="0" fontId="17" fillId="5" borderId="46" xfId="2" applyFont="1" applyFill="1" applyBorder="1" applyAlignment="1" applyProtection="1">
      <alignment horizontal="center"/>
      <protection locked="0"/>
    </xf>
    <xf numFmtId="172" fontId="17" fillId="5" borderId="41" xfId="2" applyNumberFormat="1" applyFont="1" applyFill="1" applyBorder="1" applyAlignment="1" applyProtection="1">
      <alignment horizontal="center"/>
      <protection locked="0"/>
    </xf>
    <xf numFmtId="1" fontId="17" fillId="5" borderId="24" xfId="2" applyNumberFormat="1" applyFont="1" applyFill="1" applyBorder="1" applyAlignment="1" applyProtection="1">
      <alignment horizontal="center"/>
      <protection locked="0"/>
    </xf>
    <xf numFmtId="1" fontId="17" fillId="5" borderId="25" xfId="2" applyNumberFormat="1" applyFont="1" applyFill="1" applyBorder="1" applyAlignment="1" applyProtection="1">
      <alignment horizontal="center"/>
      <protection locked="0"/>
    </xf>
    <xf numFmtId="10" fontId="17" fillId="4" borderId="27" xfId="2" applyNumberFormat="1" applyFont="1" applyFill="1" applyBorder="1" applyAlignment="1">
      <alignment horizontal="center"/>
    </xf>
    <xf numFmtId="10" fontId="17" fillId="3" borderId="27" xfId="2" applyNumberFormat="1" applyFont="1" applyFill="1" applyBorder="1" applyAlignment="1">
      <alignment horizontal="center"/>
    </xf>
    <xf numFmtId="0" fontId="17" fillId="4" borderId="13" xfId="2" applyFont="1" applyFill="1" applyBorder="1" applyAlignment="1">
      <alignment horizontal="center"/>
    </xf>
    <xf numFmtId="2" fontId="17" fillId="5" borderId="41" xfId="0" applyNumberFormat="1" applyFont="1" applyFill="1" applyBorder="1" applyAlignment="1" applyProtection="1">
      <alignment horizontal="center"/>
      <protection locked="0"/>
    </xf>
    <xf numFmtId="166" fontId="14" fillId="2" borderId="15" xfId="0" applyNumberFormat="1" applyFont="1" applyFill="1" applyBorder="1" applyAlignment="1">
      <alignment horizontal="center" vertical="center"/>
    </xf>
    <xf numFmtId="166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49" xfId="0" applyFont="1" applyFill="1" applyBorder="1" applyAlignment="1">
      <alignment horizontal="center" wrapText="1"/>
    </xf>
    <xf numFmtId="0" fontId="16" fillId="2" borderId="50" xfId="0" applyFont="1" applyFill="1" applyBorder="1" applyAlignment="1">
      <alignment horizontal="center" wrapText="1"/>
    </xf>
    <xf numFmtId="0" fontId="16" fillId="2" borderId="51" xfId="0" applyFont="1" applyFill="1" applyBorder="1" applyAlignment="1">
      <alignment horizontal="center" wrapText="1"/>
    </xf>
    <xf numFmtId="168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49" xfId="0" applyFont="1" applyFill="1" applyBorder="1" applyAlignment="1">
      <alignment horizontal="center"/>
    </xf>
    <xf numFmtId="0" fontId="8" fillId="2" borderId="50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18" fillId="5" borderId="0" xfId="0" applyFont="1" applyFill="1" applyAlignment="1" applyProtection="1">
      <alignment horizontal="left"/>
      <protection locked="0"/>
    </xf>
    <xf numFmtId="0" fontId="8" fillId="2" borderId="49" xfId="0" applyFont="1" applyFill="1" applyBorder="1" applyAlignment="1">
      <alignment horizontal="justify" vertical="center" wrapText="1"/>
    </xf>
    <xf numFmtId="0" fontId="8" fillId="2" borderId="50" xfId="0" applyFont="1" applyFill="1" applyBorder="1" applyAlignment="1">
      <alignment horizontal="justify" vertical="center" wrapText="1"/>
    </xf>
    <xf numFmtId="0" fontId="8" fillId="2" borderId="51" xfId="0" applyFont="1" applyFill="1" applyBorder="1" applyAlignment="1">
      <alignment horizontal="justify" vertical="center" wrapText="1"/>
    </xf>
    <xf numFmtId="0" fontId="8" fillId="2" borderId="49" xfId="0" applyFont="1" applyFill="1" applyBorder="1" applyAlignment="1">
      <alignment horizontal="left" vertical="center" wrapText="1"/>
    </xf>
    <xf numFmtId="0" fontId="8" fillId="2" borderId="50" xfId="0" applyFont="1" applyFill="1" applyBorder="1" applyAlignment="1">
      <alignment horizontal="left" vertical="center" wrapText="1"/>
    </xf>
    <xf numFmtId="0" fontId="8" fillId="2" borderId="51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17" fillId="5" borderId="0" xfId="0" applyFont="1" applyFill="1" applyAlignment="1" applyProtection="1">
      <alignment horizontal="left"/>
      <protection locked="0"/>
    </xf>
    <xf numFmtId="10" fontId="5" fillId="2" borderId="1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410909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Glimepriride SST"/>
      <sheetName val="Metformin HCl SST "/>
      <sheetName val="Glimepriride"/>
      <sheetName val="Glimepriride (Diss 2)"/>
      <sheetName val="Metformin HCl"/>
    </sheetNames>
    <sheetDataSet>
      <sheetData sheetId="0">
        <row r="46">
          <cell r="C46">
            <v>614.70150000000001</v>
          </cell>
        </row>
      </sheetData>
      <sheetData sheetId="1"/>
      <sheetData sheetId="2"/>
      <sheetData sheetId="3">
        <row r="18">
          <cell r="B18" t="str">
            <v>ORINASE-MET 1.0 TABLETS</v>
          </cell>
        </row>
        <row r="30">
          <cell r="B30">
            <v>99.3</v>
          </cell>
        </row>
        <row r="43">
          <cell r="D43">
            <v>12.07</v>
          </cell>
        </row>
        <row r="45">
          <cell r="B45">
            <v>1250</v>
          </cell>
        </row>
        <row r="108">
          <cell r="F108">
            <v>0.82881441615179674</v>
          </cell>
        </row>
        <row r="109">
          <cell r="F109">
            <v>0.94761051866465418</v>
          </cell>
        </row>
        <row r="110">
          <cell r="F110">
            <v>0.96329343255616184</v>
          </cell>
        </row>
        <row r="111">
          <cell r="F111">
            <v>0.92286461433333056</v>
          </cell>
        </row>
        <row r="112">
          <cell r="F112">
            <v>0.93686102391690718</v>
          </cell>
        </row>
        <row r="113">
          <cell r="F113">
            <v>0.91272982676324066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8" t="s">
        <v>72</v>
      </c>
      <c r="B11" s="489"/>
      <c r="C11" s="489"/>
      <c r="D11" s="489"/>
      <c r="E11" s="489"/>
      <c r="F11" s="490"/>
      <c r="G11" s="43"/>
    </row>
    <row r="12" spans="1:7" ht="16.5" customHeight="1" x14ac:dyDescent="0.3">
      <c r="A12" s="487" t="s">
        <v>73</v>
      </c>
      <c r="B12" s="487"/>
      <c r="C12" s="487"/>
      <c r="D12" s="487"/>
      <c r="E12" s="487"/>
      <c r="F12" s="487"/>
      <c r="G12" s="42"/>
    </row>
    <row r="14" spans="1:7" ht="16.5" customHeight="1" x14ac:dyDescent="0.3">
      <c r="A14" s="492" t="s">
        <v>1</v>
      </c>
      <c r="B14" s="492"/>
      <c r="C14" s="12" t="s">
        <v>74</v>
      </c>
    </row>
    <row r="15" spans="1:7" ht="16.5" customHeight="1" x14ac:dyDescent="0.3">
      <c r="A15" s="492" t="s">
        <v>2</v>
      </c>
      <c r="B15" s="492"/>
      <c r="C15" s="12" t="s">
        <v>75</v>
      </c>
    </row>
    <row r="16" spans="1:7" ht="16.5" customHeight="1" x14ac:dyDescent="0.3">
      <c r="A16" s="492" t="s">
        <v>3</v>
      </c>
      <c r="B16" s="492"/>
      <c r="C16" s="12" t="s">
        <v>76</v>
      </c>
    </row>
    <row r="17" spans="1:5" ht="16.5" customHeight="1" x14ac:dyDescent="0.3">
      <c r="A17" s="492" t="s">
        <v>4</v>
      </c>
      <c r="B17" s="492"/>
      <c r="C17" s="12" t="s">
        <v>76</v>
      </c>
    </row>
    <row r="18" spans="1:5" ht="16.5" customHeight="1" x14ac:dyDescent="0.3">
      <c r="A18" s="492" t="s">
        <v>5</v>
      </c>
      <c r="B18" s="492"/>
      <c r="C18" s="49" t="s">
        <v>77</v>
      </c>
    </row>
    <row r="19" spans="1:5" ht="16.5" customHeight="1" x14ac:dyDescent="0.3">
      <c r="A19" s="492" t="s">
        <v>6</v>
      </c>
      <c r="B19" s="49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87" t="s">
        <v>7</v>
      </c>
      <c r="B21" s="487"/>
      <c r="C21" s="11" t="s">
        <v>78</v>
      </c>
      <c r="D21" s="18"/>
    </row>
    <row r="22" spans="1:5" ht="15.75" customHeight="1" x14ac:dyDescent="0.3">
      <c r="A22" s="491"/>
      <c r="B22" s="491"/>
      <c r="C22" s="9"/>
      <c r="D22" s="491"/>
      <c r="E22" s="491"/>
    </row>
    <row r="23" spans="1:5" ht="33.75" customHeight="1" x14ac:dyDescent="0.3">
      <c r="C23" s="38" t="s">
        <v>79</v>
      </c>
      <c r="D23" s="37" t="s">
        <v>80</v>
      </c>
      <c r="E23" s="4"/>
    </row>
    <row r="24" spans="1:5" ht="15.75" customHeight="1" x14ac:dyDescent="0.3">
      <c r="C24" s="47">
        <v>607.79999999999995</v>
      </c>
      <c r="D24" s="39">
        <f t="shared" ref="D24:D43" si="0">(C24-$C$46)/$C$46</f>
        <v>-7.6289139512386497E-3</v>
      </c>
      <c r="E24" s="5"/>
    </row>
    <row r="25" spans="1:5" ht="15.75" customHeight="1" x14ac:dyDescent="0.3">
      <c r="C25" s="47">
        <v>621.42999999999995</v>
      </c>
      <c r="D25" s="40">
        <f t="shared" si="0"/>
        <v>1.4625146435146039E-2</v>
      </c>
      <c r="E25" s="5"/>
    </row>
    <row r="26" spans="1:5" ht="15.75" customHeight="1" x14ac:dyDescent="0.3">
      <c r="C26" s="47">
        <v>610.61</v>
      </c>
      <c r="D26" s="40">
        <f t="shared" si="0"/>
        <v>-3.0409528591078859E-3</v>
      </c>
      <c r="E26" s="5"/>
    </row>
    <row r="27" spans="1:5" ht="15.75" customHeight="1" x14ac:dyDescent="0.3">
      <c r="C27" s="47">
        <v>615.09</v>
      </c>
      <c r="D27" s="40">
        <f t="shared" si="0"/>
        <v>4.2736612664243112E-3</v>
      </c>
      <c r="E27" s="5"/>
    </row>
    <row r="28" spans="1:5" ht="15.75" customHeight="1" x14ac:dyDescent="0.3">
      <c r="C28" s="47">
        <v>608.24</v>
      </c>
      <c r="D28" s="40">
        <f t="shared" si="0"/>
        <v>-6.9105143496237939E-3</v>
      </c>
      <c r="E28" s="5"/>
    </row>
    <row r="29" spans="1:5" ht="15.75" customHeight="1" x14ac:dyDescent="0.3">
      <c r="C29" s="47">
        <v>621.38</v>
      </c>
      <c r="D29" s="40">
        <f t="shared" si="0"/>
        <v>1.4543510116780799E-2</v>
      </c>
      <c r="E29" s="5"/>
    </row>
    <row r="30" spans="1:5" ht="15.75" customHeight="1" x14ac:dyDescent="0.3">
      <c r="C30" s="47">
        <v>619.75</v>
      </c>
      <c r="D30" s="40">
        <f t="shared" si="0"/>
        <v>1.1882166138071557E-2</v>
      </c>
      <c r="E30" s="5"/>
    </row>
    <row r="31" spans="1:5" ht="15.75" customHeight="1" x14ac:dyDescent="0.3">
      <c r="C31" s="47">
        <v>621.38</v>
      </c>
      <c r="D31" s="40">
        <f t="shared" si="0"/>
        <v>1.4543510116780799E-2</v>
      </c>
      <c r="E31" s="5"/>
    </row>
    <row r="32" spans="1:5" ht="15.75" customHeight="1" x14ac:dyDescent="0.3">
      <c r="C32" s="47">
        <v>605.47</v>
      </c>
      <c r="D32" s="40">
        <f t="shared" si="0"/>
        <v>-1.1433166387062181E-2</v>
      </c>
      <c r="E32" s="5"/>
    </row>
    <row r="33" spans="1:7" ht="15.75" customHeight="1" x14ac:dyDescent="0.3">
      <c r="C33" s="47">
        <v>608.27</v>
      </c>
      <c r="D33" s="40">
        <f t="shared" si="0"/>
        <v>-6.8615325586046504E-3</v>
      </c>
      <c r="E33" s="5"/>
    </row>
    <row r="34" spans="1:7" ht="15.75" customHeight="1" x14ac:dyDescent="0.3">
      <c r="C34" s="47">
        <v>610.97</v>
      </c>
      <c r="D34" s="40">
        <f t="shared" si="0"/>
        <v>-2.4531713668776E-3</v>
      </c>
      <c r="E34" s="5"/>
    </row>
    <row r="35" spans="1:7" ht="15.75" customHeight="1" x14ac:dyDescent="0.3">
      <c r="C35" s="47">
        <v>609.07000000000005</v>
      </c>
      <c r="D35" s="40">
        <f t="shared" si="0"/>
        <v>-5.5553514647595087E-3</v>
      </c>
      <c r="E35" s="5"/>
    </row>
    <row r="36" spans="1:7" ht="15.75" customHeight="1" x14ac:dyDescent="0.3">
      <c r="C36" s="47">
        <v>616.30999999999995</v>
      </c>
      <c r="D36" s="40">
        <f t="shared" si="0"/>
        <v>6.2655874345378402E-3</v>
      </c>
      <c r="E36" s="5"/>
    </row>
    <row r="37" spans="1:7" ht="15.75" customHeight="1" x14ac:dyDescent="0.3">
      <c r="C37" s="47">
        <v>577.71</v>
      </c>
      <c r="D37" s="40">
        <f t="shared" si="0"/>
        <v>-5.6757650343484699E-2</v>
      </c>
      <c r="E37" s="5"/>
    </row>
    <row r="38" spans="1:7" ht="15.75" customHeight="1" x14ac:dyDescent="0.3">
      <c r="C38" s="47">
        <v>610.79999999999995</v>
      </c>
      <c r="D38" s="40">
        <f t="shared" si="0"/>
        <v>-2.730734849319788E-3</v>
      </c>
      <c r="E38" s="5"/>
    </row>
    <row r="39" spans="1:7" ht="15.75" customHeight="1" x14ac:dyDescent="0.3">
      <c r="C39" s="47">
        <v>626.32000000000005</v>
      </c>
      <c r="D39" s="40">
        <f t="shared" si="0"/>
        <v>2.2609178371273946E-2</v>
      </c>
      <c r="E39" s="5"/>
    </row>
    <row r="40" spans="1:7" ht="15.75" customHeight="1" x14ac:dyDescent="0.3">
      <c r="C40" s="47">
        <v>611.98</v>
      </c>
      <c r="D40" s="40">
        <f t="shared" si="0"/>
        <v>-8.0411773589826488E-4</v>
      </c>
      <c r="E40" s="5"/>
    </row>
    <row r="41" spans="1:7" ht="15.75" customHeight="1" x14ac:dyDescent="0.3">
      <c r="C41" s="47">
        <v>618.82000000000005</v>
      </c>
      <c r="D41" s="40">
        <f t="shared" si="0"/>
        <v>1.0363730616476793E-2</v>
      </c>
      <c r="E41" s="5"/>
    </row>
    <row r="42" spans="1:7" ht="15.75" customHeight="1" x14ac:dyDescent="0.3">
      <c r="C42" s="47">
        <v>619.86</v>
      </c>
      <c r="D42" s="40">
        <f t="shared" si="0"/>
        <v>1.2061766038475271E-2</v>
      </c>
      <c r="E42" s="5"/>
    </row>
    <row r="43" spans="1:7" ht="16.5" customHeight="1" x14ac:dyDescent="0.3">
      <c r="C43" s="48">
        <v>608.19000000000005</v>
      </c>
      <c r="D43" s="41">
        <f t="shared" si="0"/>
        <v>-6.9921506679890347E-3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81</v>
      </c>
      <c r="C45" s="35">
        <f>SUM(C24:C44)</f>
        <v>12249.449999999999</v>
      </c>
      <c r="D45" s="30"/>
      <c r="E45" s="6"/>
    </row>
    <row r="46" spans="1:7" ht="17.25" customHeight="1" x14ac:dyDescent="0.3">
      <c r="B46" s="34" t="s">
        <v>82</v>
      </c>
      <c r="C46" s="36">
        <f>AVERAGE(C24:C44)</f>
        <v>612.47249999999997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82</v>
      </c>
      <c r="C48" s="37" t="s">
        <v>83</v>
      </c>
      <c r="D48" s="32"/>
      <c r="G48" s="10"/>
    </row>
    <row r="49" spans="1:6" ht="17.25" customHeight="1" x14ac:dyDescent="0.3">
      <c r="B49" s="485">
        <f>C46</f>
        <v>612.47249999999997</v>
      </c>
      <c r="C49" s="45">
        <f>-IF(C46&lt;=80,10%,IF(C46&lt;250,7.5%,5%))</f>
        <v>-0.05</v>
      </c>
      <c r="D49" s="33">
        <f>IF(C46&lt;=80,C46*0.9,IF(C46&lt;250,C46*0.925,C46*0.95))</f>
        <v>581.84887499999991</v>
      </c>
    </row>
    <row r="50" spans="1:6" ht="17.25" customHeight="1" x14ac:dyDescent="0.3">
      <c r="B50" s="486"/>
      <c r="C50" s="46">
        <f>IF(C46&lt;=80, 10%, IF(C46&lt;250, 7.5%, 5%))</f>
        <v>0.05</v>
      </c>
      <c r="D50" s="33">
        <f>IF(C46&lt;=80, C46*1.1, IF(C46&lt;250, C46*1.075, C46*1.05))</f>
        <v>643.09612500000003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67</v>
      </c>
      <c r="C52" s="19"/>
      <c r="D52" s="20" t="s">
        <v>68</v>
      </c>
      <c r="E52" s="21"/>
      <c r="F52" s="20" t="s">
        <v>69</v>
      </c>
    </row>
    <row r="53" spans="1:6" ht="34.5" customHeight="1" x14ac:dyDescent="0.3">
      <c r="A53" s="22" t="s">
        <v>70</v>
      </c>
      <c r="B53" s="23"/>
      <c r="C53" s="24"/>
      <c r="D53" s="23"/>
      <c r="E53" s="13"/>
      <c r="F53" s="25"/>
    </row>
    <row r="54" spans="1:6" ht="34.5" customHeight="1" x14ac:dyDescent="0.3">
      <c r="A54" s="22" t="s">
        <v>71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0" zoomScaleNormal="55" zoomScaleSheetLayoutView="100" workbookViewId="0">
      <selection activeCell="B54" sqref="B54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64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93" t="s">
        <v>110</v>
      </c>
      <c r="B15" s="493"/>
      <c r="C15" s="493"/>
      <c r="D15" s="493"/>
      <c r="E15" s="493"/>
    </row>
    <row r="16" spans="1:6" ht="16.5" customHeight="1" x14ac:dyDescent="0.3">
      <c r="A16" s="423" t="s">
        <v>7</v>
      </c>
      <c r="B16" s="424" t="s">
        <v>111</v>
      </c>
    </row>
    <row r="17" spans="1:6" ht="16.5" customHeight="1" x14ac:dyDescent="0.3">
      <c r="A17" s="425" t="s">
        <v>112</v>
      </c>
      <c r="B17" s="425" t="str">
        <f>Glimepriride!B18</f>
        <v>ORINASE-MET 2.0 TABLETS</v>
      </c>
      <c r="D17" s="426"/>
      <c r="E17" s="427"/>
    </row>
    <row r="18" spans="1:6" ht="16.5" customHeight="1" x14ac:dyDescent="0.3">
      <c r="A18" s="428" t="s">
        <v>8</v>
      </c>
      <c r="B18" s="425" t="str">
        <f>Glimepriride!B26</f>
        <v>Glimepiride</v>
      </c>
      <c r="C18" s="427"/>
      <c r="D18" s="427"/>
      <c r="E18" s="427"/>
    </row>
    <row r="19" spans="1:6" ht="16.5" customHeight="1" x14ac:dyDescent="0.3">
      <c r="A19" s="428" t="s">
        <v>10</v>
      </c>
      <c r="B19" s="429">
        <f>[1]Glimepriride!B30</f>
        <v>99.3</v>
      </c>
      <c r="C19" s="427"/>
      <c r="D19" s="427"/>
      <c r="E19" s="427"/>
    </row>
    <row r="20" spans="1:6" ht="16.5" customHeight="1" x14ac:dyDescent="0.3">
      <c r="A20" s="425" t="s">
        <v>113</v>
      </c>
      <c r="B20" s="429">
        <f>[1]Glimepriride!D43</f>
        <v>12.07</v>
      </c>
      <c r="C20" s="427"/>
      <c r="D20" s="427"/>
      <c r="E20" s="427"/>
    </row>
    <row r="21" spans="1:6" ht="16.5" customHeight="1" x14ac:dyDescent="0.3">
      <c r="A21" s="425" t="s">
        <v>114</v>
      </c>
      <c r="B21" s="430">
        <f>B20/[1]Glimepriride!B45</f>
        <v>9.6559999999999997E-3</v>
      </c>
      <c r="C21" s="427"/>
      <c r="D21" s="427"/>
      <c r="E21" s="427"/>
    </row>
    <row r="22" spans="1:6" ht="15.75" customHeight="1" x14ac:dyDescent="0.25">
      <c r="A22" s="427"/>
      <c r="B22" s="427" t="s">
        <v>115</v>
      </c>
      <c r="C22" s="427"/>
      <c r="D22" s="427"/>
      <c r="E22" s="427"/>
    </row>
    <row r="23" spans="1:6" ht="16.5" customHeight="1" x14ac:dyDescent="0.3">
      <c r="A23" s="431" t="s">
        <v>116</v>
      </c>
      <c r="B23" s="432" t="s">
        <v>117</v>
      </c>
      <c r="C23" s="431" t="s">
        <v>118</v>
      </c>
      <c r="D23" s="431" t="s">
        <v>119</v>
      </c>
      <c r="E23" s="432" t="s">
        <v>120</v>
      </c>
      <c r="F23" s="433"/>
    </row>
    <row r="24" spans="1:6" ht="16.5" customHeight="1" x14ac:dyDescent="0.3">
      <c r="A24" s="434">
        <v>1</v>
      </c>
      <c r="B24" s="435">
        <v>283606</v>
      </c>
      <c r="C24" s="435">
        <v>11247.9</v>
      </c>
      <c r="D24" s="436">
        <v>1.07</v>
      </c>
      <c r="E24" s="437">
        <v>6.12</v>
      </c>
      <c r="F24" s="433"/>
    </row>
    <row r="25" spans="1:6" ht="16.5" customHeight="1" x14ac:dyDescent="0.3">
      <c r="A25" s="434">
        <v>2</v>
      </c>
      <c r="B25" s="435"/>
      <c r="C25" s="435">
        <v>11313.7</v>
      </c>
      <c r="D25" s="436">
        <v>1.06</v>
      </c>
      <c r="E25" s="438">
        <v>6.12</v>
      </c>
      <c r="F25" s="433"/>
    </row>
    <row r="26" spans="1:6" ht="16.5" customHeight="1" x14ac:dyDescent="0.3">
      <c r="A26" s="434">
        <v>3</v>
      </c>
      <c r="B26" s="435">
        <v>276749</v>
      </c>
      <c r="C26" s="435">
        <v>11257.5</v>
      </c>
      <c r="D26" s="436">
        <v>1.05</v>
      </c>
      <c r="E26" s="438">
        <v>6.12</v>
      </c>
      <c r="F26" s="433"/>
    </row>
    <row r="27" spans="1:6" ht="16.5" customHeight="1" x14ac:dyDescent="0.3">
      <c r="A27" s="434">
        <v>4</v>
      </c>
      <c r="B27" s="435">
        <v>271230</v>
      </c>
      <c r="C27" s="435">
        <v>11308.4</v>
      </c>
      <c r="D27" s="436">
        <v>1.05</v>
      </c>
      <c r="E27" s="438">
        <v>6.12</v>
      </c>
      <c r="F27" s="433"/>
    </row>
    <row r="28" spans="1:6" ht="16.5" customHeight="1" x14ac:dyDescent="0.3">
      <c r="A28" s="434">
        <v>5</v>
      </c>
      <c r="B28" s="435">
        <v>276220</v>
      </c>
      <c r="C28" s="435">
        <v>11312.1</v>
      </c>
      <c r="D28" s="436">
        <v>1.05</v>
      </c>
      <c r="E28" s="438">
        <v>6.12</v>
      </c>
      <c r="F28" s="433"/>
    </row>
    <row r="29" spans="1:6" ht="16.5" customHeight="1" x14ac:dyDescent="0.3">
      <c r="A29" s="434">
        <v>6</v>
      </c>
      <c r="B29" s="439">
        <v>281126</v>
      </c>
      <c r="C29" s="439">
        <v>11249.2</v>
      </c>
      <c r="D29" s="440">
        <v>1.04</v>
      </c>
      <c r="E29" s="441">
        <v>6.12</v>
      </c>
      <c r="F29" s="433"/>
    </row>
    <row r="30" spans="1:6" ht="16.5" customHeight="1" x14ac:dyDescent="0.3">
      <c r="A30" s="442" t="s">
        <v>121</v>
      </c>
      <c r="B30" s="443">
        <f>AVERAGE(B24:B29)</f>
        <v>277786.2</v>
      </c>
      <c r="C30" s="444">
        <f>AVERAGE(C24:C29)</f>
        <v>11281.466666666667</v>
      </c>
      <c r="D30" s="445">
        <f>AVERAGE(D24:D29)</f>
        <v>1.0533333333333332</v>
      </c>
      <c r="E30" s="446">
        <f>AVERAGE(E24:E29)</f>
        <v>6.12</v>
      </c>
      <c r="F30" s="433"/>
    </row>
    <row r="31" spans="1:6" ht="16.5" customHeight="1" x14ac:dyDescent="0.3">
      <c r="A31" s="447" t="s">
        <v>122</v>
      </c>
      <c r="B31" s="448">
        <f>(STDEV(B24:B29)/B30)</f>
        <v>1.722095947481822E-2</v>
      </c>
      <c r="C31" s="449"/>
      <c r="D31" s="449"/>
      <c r="E31" s="450"/>
      <c r="F31" s="433"/>
    </row>
    <row r="32" spans="1:6" s="421" customFormat="1" ht="16.5" customHeight="1" x14ac:dyDescent="0.3">
      <c r="A32" s="451" t="s">
        <v>41</v>
      </c>
      <c r="B32" s="452">
        <f>COUNT(B24:B29)</f>
        <v>5</v>
      </c>
      <c r="C32" s="453"/>
      <c r="D32" s="454"/>
      <c r="E32" s="454"/>
      <c r="F32" s="433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123</v>
      </c>
      <c r="B34" s="455" t="s">
        <v>124</v>
      </c>
      <c r="C34" s="456"/>
      <c r="D34" s="456"/>
      <c r="E34" s="456"/>
    </row>
    <row r="35" spans="1:5" ht="16.5" customHeight="1" x14ac:dyDescent="0.3">
      <c r="A35" s="428"/>
      <c r="B35" s="455" t="s">
        <v>125</v>
      </c>
      <c r="C35" s="456"/>
      <c r="D35" s="456"/>
      <c r="E35" s="456"/>
    </row>
    <row r="36" spans="1:5" ht="16.5" customHeight="1" x14ac:dyDescent="0.3">
      <c r="A36" s="428"/>
      <c r="B36" s="455" t="s">
        <v>126</v>
      </c>
      <c r="C36" s="456"/>
      <c r="D36" s="456"/>
      <c r="E36" s="456"/>
    </row>
    <row r="37" spans="1:5" ht="15.75" customHeight="1" x14ac:dyDescent="0.25">
      <c r="A37" s="427"/>
      <c r="C37" s="427"/>
      <c r="D37" s="427"/>
      <c r="E37" s="427"/>
    </row>
    <row r="38" spans="1:5" ht="16.5" customHeight="1" x14ac:dyDescent="0.3">
      <c r="A38" s="423" t="s">
        <v>7</v>
      </c>
      <c r="B38" s="424" t="s">
        <v>127</v>
      </c>
    </row>
    <row r="39" spans="1:5" ht="16.5" customHeight="1" x14ac:dyDescent="0.3">
      <c r="A39" s="428" t="s">
        <v>8</v>
      </c>
      <c r="B39" s="425" t="str">
        <f>B18</f>
        <v>Glimepiride</v>
      </c>
      <c r="C39" s="427"/>
      <c r="D39" s="427"/>
      <c r="E39" s="427"/>
    </row>
    <row r="40" spans="1:5" ht="16.5" customHeight="1" x14ac:dyDescent="0.3">
      <c r="A40" s="428" t="s">
        <v>10</v>
      </c>
      <c r="B40" s="429">
        <f>Glimepriride!B30</f>
        <v>99.3</v>
      </c>
      <c r="C40" s="427"/>
      <c r="D40" s="427"/>
      <c r="E40" s="427"/>
    </row>
    <row r="41" spans="1:5" ht="16.5" customHeight="1" x14ac:dyDescent="0.3">
      <c r="A41" s="425" t="s">
        <v>113</v>
      </c>
      <c r="B41" s="429">
        <f>Glimepriride!D96</f>
        <v>11.79</v>
      </c>
      <c r="C41" s="427"/>
      <c r="D41" s="427"/>
      <c r="E41" s="427"/>
    </row>
    <row r="42" spans="1:5" ht="16.5" customHeight="1" x14ac:dyDescent="0.3">
      <c r="A42" s="425" t="s">
        <v>114</v>
      </c>
      <c r="B42" s="430">
        <f>B41/Glimepriride!B98</f>
        <v>3.5369999999999998E-3</v>
      </c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116</v>
      </c>
      <c r="B44" s="432" t="s">
        <v>117</v>
      </c>
      <c r="C44" s="431" t="s">
        <v>118</v>
      </c>
      <c r="D44" s="431" t="s">
        <v>119</v>
      </c>
      <c r="E44" s="431" t="s">
        <v>120</v>
      </c>
    </row>
    <row r="45" spans="1:5" ht="16.5" customHeight="1" x14ac:dyDescent="0.3">
      <c r="A45" s="434">
        <v>1</v>
      </c>
      <c r="B45" s="435">
        <v>105257</v>
      </c>
      <c r="C45" s="435">
        <v>10632.97</v>
      </c>
      <c r="D45" s="436">
        <v>1.02</v>
      </c>
      <c r="E45" s="457">
        <v>6.22</v>
      </c>
    </row>
    <row r="46" spans="1:5" ht="16.5" customHeight="1" x14ac:dyDescent="0.3">
      <c r="A46" s="434">
        <v>2</v>
      </c>
      <c r="B46" s="435">
        <v>105707</v>
      </c>
      <c r="C46" s="435">
        <v>10425.01</v>
      </c>
      <c r="D46" s="436">
        <v>1.03</v>
      </c>
      <c r="E46" s="436">
        <v>6.22</v>
      </c>
    </row>
    <row r="47" spans="1:5" ht="16.5" customHeight="1" x14ac:dyDescent="0.3">
      <c r="A47" s="434">
        <v>3</v>
      </c>
      <c r="B47" s="435">
        <v>109757</v>
      </c>
      <c r="C47" s="435">
        <v>10331.57</v>
      </c>
      <c r="D47" s="436">
        <v>1.01</v>
      </c>
      <c r="E47" s="436">
        <v>6.21</v>
      </c>
    </row>
    <row r="48" spans="1:5" ht="16.5" customHeight="1" x14ac:dyDescent="0.3">
      <c r="A48" s="434">
        <v>4</v>
      </c>
      <c r="B48" s="435">
        <v>110266</v>
      </c>
      <c r="C48" s="435">
        <v>10474.120000000001</v>
      </c>
      <c r="D48" s="436">
        <v>1.03</v>
      </c>
      <c r="E48" s="436">
        <v>6.22</v>
      </c>
    </row>
    <row r="49" spans="1:7" ht="16.5" customHeight="1" x14ac:dyDescent="0.3">
      <c r="A49" s="434">
        <v>5</v>
      </c>
      <c r="B49" s="435">
        <v>133134</v>
      </c>
      <c r="C49" s="435">
        <v>9580.35</v>
      </c>
      <c r="D49" s="436">
        <v>1.05</v>
      </c>
      <c r="E49" s="436">
        <v>6.21</v>
      </c>
    </row>
    <row r="50" spans="1:7" ht="16.5" customHeight="1" x14ac:dyDescent="0.3">
      <c r="A50" s="434">
        <v>6</v>
      </c>
      <c r="B50" s="439">
        <v>121220</v>
      </c>
      <c r="C50" s="439">
        <v>9798.93</v>
      </c>
      <c r="D50" s="440">
        <v>1.03</v>
      </c>
      <c r="E50" s="440">
        <v>6.21</v>
      </c>
    </row>
    <row r="51" spans="1:7" ht="16.5" customHeight="1" x14ac:dyDescent="0.3">
      <c r="A51" s="442" t="s">
        <v>121</v>
      </c>
      <c r="B51" s="443">
        <f>AVERAGE(B45:B50)</f>
        <v>114223.5</v>
      </c>
      <c r="C51" s="446">
        <f>AVERAGE(C45:C50)</f>
        <v>10207.158333333333</v>
      </c>
      <c r="D51" s="446">
        <f>AVERAGE(D45:D50)</f>
        <v>1.0283333333333333</v>
      </c>
      <c r="E51" s="446">
        <f>AVERAGE(E45:E50)</f>
        <v>6.2149999999999999</v>
      </c>
    </row>
    <row r="52" spans="1:7" ht="16.5" customHeight="1" x14ac:dyDescent="0.3">
      <c r="A52" s="447" t="s">
        <v>122</v>
      </c>
      <c r="B52" s="448">
        <f>(STDEV(B45:B50)/B51)</f>
        <v>9.5511112941788864E-2</v>
      </c>
      <c r="C52" s="449"/>
      <c r="D52" s="449"/>
      <c r="E52" s="459"/>
    </row>
    <row r="53" spans="1:7" s="421" customFormat="1" ht="16.5" customHeight="1" x14ac:dyDescent="0.3">
      <c r="A53" s="451" t="s">
        <v>41</v>
      </c>
      <c r="B53" s="452">
        <f>COUNT(B45:B50)</f>
        <v>6</v>
      </c>
      <c r="C53" s="453"/>
      <c r="D53" s="454"/>
      <c r="E53" s="460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123</v>
      </c>
      <c r="B55" s="455" t="s">
        <v>124</v>
      </c>
      <c r="C55" s="456"/>
      <c r="D55" s="456"/>
      <c r="E55" s="456"/>
    </row>
    <row r="56" spans="1:7" ht="16.5" customHeight="1" x14ac:dyDescent="0.3">
      <c r="A56" s="428"/>
      <c r="B56" s="455" t="s">
        <v>125</v>
      </c>
      <c r="C56" s="456"/>
      <c r="D56" s="456"/>
      <c r="E56" s="456"/>
    </row>
    <row r="57" spans="1:7" ht="16.5" customHeight="1" x14ac:dyDescent="0.3">
      <c r="A57" s="428"/>
      <c r="B57" s="455" t="s">
        <v>126</v>
      </c>
      <c r="C57" s="456"/>
      <c r="D57" s="456"/>
      <c r="E57" s="456"/>
    </row>
    <row r="58" spans="1:7" ht="14.25" customHeight="1" thickBot="1" x14ac:dyDescent="0.3">
      <c r="A58" s="461"/>
      <c r="B58" s="462"/>
      <c r="D58" s="463"/>
      <c r="F58" s="464"/>
      <c r="G58" s="464"/>
    </row>
    <row r="59" spans="1:7" ht="15" customHeight="1" x14ac:dyDescent="0.3">
      <c r="B59" s="465" t="s">
        <v>67</v>
      </c>
      <c r="C59" s="466" t="s">
        <v>68</v>
      </c>
      <c r="E59" s="466" t="s">
        <v>69</v>
      </c>
      <c r="F59" s="467"/>
    </row>
    <row r="60" spans="1:7" ht="15" customHeight="1" x14ac:dyDescent="0.3">
      <c r="A60" s="468" t="s">
        <v>70</v>
      </c>
      <c r="B60" s="469"/>
      <c r="C60" s="469"/>
      <c r="E60" s="469"/>
    </row>
    <row r="61" spans="1:7" ht="15" customHeight="1" x14ac:dyDescent="0.3">
      <c r="A61" s="468" t="s">
        <v>71</v>
      </c>
      <c r="B61" s="470"/>
      <c r="C61" s="470"/>
      <c r="E61" s="471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7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zoomScaleNormal="55" zoomScaleSheetLayoutView="100" workbookViewId="0">
      <selection activeCell="B18" sqref="B18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64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493" t="s">
        <v>110</v>
      </c>
      <c r="B15" s="493"/>
      <c r="C15" s="493"/>
      <c r="D15" s="493"/>
      <c r="E15" s="493"/>
    </row>
    <row r="16" spans="1:6" ht="16.5" customHeight="1" x14ac:dyDescent="0.3">
      <c r="A16" s="423" t="s">
        <v>7</v>
      </c>
      <c r="B16" s="424" t="s">
        <v>128</v>
      </c>
    </row>
    <row r="17" spans="1:6" ht="16.5" customHeight="1" x14ac:dyDescent="0.3">
      <c r="A17" s="425" t="s">
        <v>112</v>
      </c>
      <c r="B17" s="425" t="str">
        <f>'Metformin HCl'!B18:C18</f>
        <v>ORINASE-MET 2.0 TABLETS</v>
      </c>
      <c r="D17" s="426"/>
      <c r="E17" s="427"/>
    </row>
    <row r="18" spans="1:6" ht="16.5" customHeight="1" x14ac:dyDescent="0.3">
      <c r="A18" s="428" t="s">
        <v>8</v>
      </c>
      <c r="B18" s="421" t="str">
        <f>'Metformin HCl'!B26:C26</f>
        <v>Metformin HCl</v>
      </c>
      <c r="C18" s="427"/>
      <c r="D18" s="427"/>
      <c r="E18" s="427"/>
    </row>
    <row r="19" spans="1:6" ht="16.5" customHeight="1" x14ac:dyDescent="0.3">
      <c r="A19" s="428" t="s">
        <v>10</v>
      </c>
      <c r="B19" s="429">
        <f>[1]Glimepriride!B30</f>
        <v>99.3</v>
      </c>
      <c r="C19" s="427"/>
      <c r="D19" s="427"/>
      <c r="E19" s="427"/>
    </row>
    <row r="20" spans="1:6" ht="16.5" customHeight="1" x14ac:dyDescent="0.3">
      <c r="A20" s="425" t="s">
        <v>113</v>
      </c>
      <c r="B20" s="429">
        <f>[1]Glimepriride!D43</f>
        <v>12.07</v>
      </c>
      <c r="C20" s="427"/>
      <c r="D20" s="427"/>
      <c r="E20" s="427"/>
    </row>
    <row r="21" spans="1:6" ht="16.5" customHeight="1" x14ac:dyDescent="0.3">
      <c r="A21" s="425" t="s">
        <v>114</v>
      </c>
      <c r="B21" s="430">
        <f>B20/[1]Glimepriride!B45</f>
        <v>9.6559999999999997E-3</v>
      </c>
      <c r="C21" s="427"/>
      <c r="D21" s="427"/>
      <c r="E21" s="427"/>
    </row>
    <row r="22" spans="1:6" ht="15.75" customHeight="1" x14ac:dyDescent="0.25">
      <c r="A22" s="427"/>
      <c r="B22" s="427" t="s">
        <v>115</v>
      </c>
      <c r="C22" s="427"/>
      <c r="D22" s="427"/>
      <c r="E22" s="427"/>
    </row>
    <row r="23" spans="1:6" ht="16.5" customHeight="1" x14ac:dyDescent="0.3">
      <c r="A23" s="431" t="s">
        <v>116</v>
      </c>
      <c r="B23" s="432" t="s">
        <v>117</v>
      </c>
      <c r="C23" s="431" t="s">
        <v>118</v>
      </c>
      <c r="D23" s="431" t="s">
        <v>119</v>
      </c>
      <c r="E23" s="432" t="s">
        <v>120</v>
      </c>
      <c r="F23" s="433"/>
    </row>
    <row r="24" spans="1:6" ht="16.5" customHeight="1" x14ac:dyDescent="0.3">
      <c r="A24" s="434">
        <v>1</v>
      </c>
      <c r="B24" s="435">
        <v>5883166</v>
      </c>
      <c r="C24" s="435">
        <v>5757.8</v>
      </c>
      <c r="D24" s="436">
        <v>1.1399999999999999</v>
      </c>
      <c r="E24" s="437">
        <v>1.96</v>
      </c>
      <c r="F24" s="433"/>
    </row>
    <row r="25" spans="1:6" ht="16.5" customHeight="1" x14ac:dyDescent="0.3">
      <c r="A25" s="434">
        <v>2</v>
      </c>
      <c r="B25" s="435">
        <v>5881315</v>
      </c>
      <c r="C25" s="435">
        <v>5772</v>
      </c>
      <c r="D25" s="436">
        <v>1.1499999999999999</v>
      </c>
      <c r="E25" s="438">
        <v>1.96</v>
      </c>
      <c r="F25" s="433"/>
    </row>
    <row r="26" spans="1:6" ht="16.5" customHeight="1" x14ac:dyDescent="0.3">
      <c r="A26" s="434">
        <v>3</v>
      </c>
      <c r="B26" s="435">
        <v>5893406</v>
      </c>
      <c r="C26" s="435">
        <v>5792.5</v>
      </c>
      <c r="D26" s="436">
        <v>1.19</v>
      </c>
      <c r="E26" s="438">
        <v>1.96</v>
      </c>
      <c r="F26" s="433"/>
    </row>
    <row r="27" spans="1:6" ht="16.5" customHeight="1" x14ac:dyDescent="0.3">
      <c r="A27" s="434">
        <v>4</v>
      </c>
      <c r="B27" s="435">
        <v>5886738</v>
      </c>
      <c r="C27" s="435">
        <v>5737.1</v>
      </c>
      <c r="D27" s="436">
        <v>1.1399999999999999</v>
      </c>
      <c r="E27" s="438">
        <v>1.96</v>
      </c>
      <c r="F27" s="433"/>
    </row>
    <row r="28" spans="1:6" ht="16.5" customHeight="1" x14ac:dyDescent="0.3">
      <c r="A28" s="434">
        <v>5</v>
      </c>
      <c r="B28" s="435">
        <v>5890985</v>
      </c>
      <c r="C28" s="435">
        <v>5795.7</v>
      </c>
      <c r="D28" s="436">
        <v>1.1499999999999999</v>
      </c>
      <c r="E28" s="438">
        <v>1.96</v>
      </c>
      <c r="F28" s="433"/>
    </row>
    <row r="29" spans="1:6" ht="16.5" customHeight="1" x14ac:dyDescent="0.3">
      <c r="A29" s="434">
        <v>6</v>
      </c>
      <c r="B29" s="439">
        <v>5921717</v>
      </c>
      <c r="C29" s="439">
        <v>5748.9</v>
      </c>
      <c r="D29" s="440">
        <v>1.19</v>
      </c>
      <c r="E29" s="441">
        <v>1.96</v>
      </c>
      <c r="F29" s="433"/>
    </row>
    <row r="30" spans="1:6" ht="16.5" customHeight="1" x14ac:dyDescent="0.3">
      <c r="A30" s="442" t="s">
        <v>121</v>
      </c>
      <c r="B30" s="443">
        <f>AVERAGE(B24:B29)</f>
        <v>5892887.833333333</v>
      </c>
      <c r="C30" s="444">
        <f>AVERAGE(C24:C29)</f>
        <v>5767.333333333333</v>
      </c>
      <c r="D30" s="445">
        <f>AVERAGE(D24:D29)</f>
        <v>1.1599999999999999</v>
      </c>
      <c r="E30" s="446">
        <f>AVERAGE(E24:E29)</f>
        <v>1.9600000000000002</v>
      </c>
      <c r="F30" s="433"/>
    </row>
    <row r="31" spans="1:6" ht="16.5" customHeight="1" x14ac:dyDescent="0.3">
      <c r="A31" s="447" t="s">
        <v>122</v>
      </c>
      <c r="B31" s="448">
        <f>(STDEV(B24:B29)/B30)</f>
        <v>2.5184581037030001E-3</v>
      </c>
      <c r="C31" s="449"/>
      <c r="D31" s="449"/>
      <c r="E31" s="450"/>
      <c r="F31" s="433"/>
    </row>
    <row r="32" spans="1:6" s="421" customFormat="1" ht="16.5" customHeight="1" x14ac:dyDescent="0.3">
      <c r="A32" s="451" t="s">
        <v>41</v>
      </c>
      <c r="B32" s="452">
        <f>COUNT(B24:B29)</f>
        <v>6</v>
      </c>
      <c r="C32" s="453"/>
      <c r="D32" s="454"/>
      <c r="E32" s="454"/>
      <c r="F32" s="433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123</v>
      </c>
      <c r="B34" s="455" t="s">
        <v>124</v>
      </c>
      <c r="C34" s="456"/>
      <c r="D34" s="456"/>
      <c r="E34" s="456"/>
    </row>
    <row r="35" spans="1:5" ht="16.5" customHeight="1" x14ac:dyDescent="0.3">
      <c r="A35" s="428"/>
      <c r="B35" s="455" t="s">
        <v>125</v>
      </c>
      <c r="C35" s="456"/>
      <c r="D35" s="456"/>
      <c r="E35" s="456"/>
    </row>
    <row r="36" spans="1:5" ht="16.5" customHeight="1" x14ac:dyDescent="0.3">
      <c r="A36" s="428"/>
      <c r="B36" s="455" t="s">
        <v>126</v>
      </c>
      <c r="C36" s="456"/>
      <c r="D36" s="456"/>
      <c r="E36" s="456"/>
    </row>
    <row r="37" spans="1:5" ht="15.75" customHeight="1" x14ac:dyDescent="0.25">
      <c r="A37" s="427"/>
      <c r="C37" s="427"/>
      <c r="D37" s="427"/>
      <c r="E37" s="427"/>
    </row>
    <row r="38" spans="1:5" ht="16.5" customHeight="1" x14ac:dyDescent="0.3">
      <c r="A38" s="423" t="s">
        <v>7</v>
      </c>
      <c r="B38" s="424" t="s">
        <v>127</v>
      </c>
    </row>
    <row r="39" spans="1:5" ht="16.5" customHeight="1" x14ac:dyDescent="0.3">
      <c r="A39" s="428" t="s">
        <v>8</v>
      </c>
      <c r="B39" s="425"/>
      <c r="C39" s="427"/>
      <c r="D39" s="427"/>
      <c r="E39" s="427"/>
    </row>
    <row r="40" spans="1:5" ht="16.5" customHeight="1" x14ac:dyDescent="0.3">
      <c r="A40" s="428" t="s">
        <v>10</v>
      </c>
      <c r="B40" s="429"/>
      <c r="C40" s="427"/>
      <c r="D40" s="427"/>
      <c r="E40" s="427"/>
    </row>
    <row r="41" spans="1:5" ht="16.5" customHeight="1" x14ac:dyDescent="0.3">
      <c r="A41" s="425" t="s">
        <v>113</v>
      </c>
      <c r="B41" s="429"/>
      <c r="C41" s="427"/>
      <c r="D41" s="427"/>
      <c r="E41" s="427"/>
    </row>
    <row r="42" spans="1:5" ht="16.5" customHeight="1" x14ac:dyDescent="0.3">
      <c r="A42" s="425" t="s">
        <v>114</v>
      </c>
      <c r="B42" s="430"/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116</v>
      </c>
      <c r="B44" s="432" t="s">
        <v>117</v>
      </c>
      <c r="C44" s="431" t="s">
        <v>118</v>
      </c>
      <c r="D44" s="431" t="s">
        <v>119</v>
      </c>
      <c r="E44" s="431" t="s">
        <v>120</v>
      </c>
    </row>
    <row r="45" spans="1:5" ht="16.5" customHeight="1" x14ac:dyDescent="0.3">
      <c r="A45" s="434">
        <v>1</v>
      </c>
      <c r="B45" s="435"/>
      <c r="C45" s="435"/>
      <c r="D45" s="436"/>
      <c r="E45" s="457"/>
    </row>
    <row r="46" spans="1:5" ht="16.5" customHeight="1" x14ac:dyDescent="0.3">
      <c r="A46" s="434">
        <v>2</v>
      </c>
      <c r="B46" s="435"/>
      <c r="C46" s="435"/>
      <c r="D46" s="436"/>
      <c r="E46" s="436"/>
    </row>
    <row r="47" spans="1:5" ht="16.5" customHeight="1" x14ac:dyDescent="0.3">
      <c r="A47" s="434">
        <v>3</v>
      </c>
      <c r="B47" s="435"/>
      <c r="C47" s="435"/>
      <c r="D47" s="436"/>
      <c r="E47" s="436"/>
    </row>
    <row r="48" spans="1:5" ht="16.5" customHeight="1" x14ac:dyDescent="0.3">
      <c r="A48" s="434">
        <v>4</v>
      </c>
      <c r="B48" s="435"/>
      <c r="C48" s="435"/>
      <c r="D48" s="436"/>
      <c r="E48" s="436"/>
    </row>
    <row r="49" spans="1:7" ht="16.5" customHeight="1" x14ac:dyDescent="0.3">
      <c r="A49" s="434">
        <v>5</v>
      </c>
      <c r="B49" s="435"/>
      <c r="C49" s="435"/>
      <c r="D49" s="436"/>
      <c r="E49" s="436"/>
    </row>
    <row r="50" spans="1:7" ht="16.5" customHeight="1" x14ac:dyDescent="0.3">
      <c r="A50" s="434">
        <v>6</v>
      </c>
      <c r="B50" s="439"/>
      <c r="C50" s="439"/>
      <c r="D50" s="440"/>
      <c r="E50" s="440"/>
    </row>
    <row r="51" spans="1:7" ht="16.5" customHeight="1" x14ac:dyDescent="0.3">
      <c r="A51" s="442" t="s">
        <v>121</v>
      </c>
      <c r="B51" s="443" t="e">
        <f>AVERAGE(B45:B50)</f>
        <v>#DIV/0!</v>
      </c>
      <c r="C51" s="458" t="e">
        <f>AVERAGE(C45:C50)</f>
        <v>#DIV/0!</v>
      </c>
      <c r="D51" s="445" t="e">
        <f>AVERAGE(D45:D50)</f>
        <v>#DIV/0!</v>
      </c>
      <c r="E51" s="445" t="e">
        <f>AVERAGE(E45:E50)</f>
        <v>#DIV/0!</v>
      </c>
    </row>
    <row r="52" spans="1:7" ht="16.5" customHeight="1" x14ac:dyDescent="0.3">
      <c r="A52" s="447" t="s">
        <v>122</v>
      </c>
      <c r="B52" s="448" t="e">
        <f>(STDEV(B45:B50)/B51)</f>
        <v>#DIV/0!</v>
      </c>
      <c r="C52" s="449"/>
      <c r="D52" s="449"/>
      <c r="E52" s="459"/>
    </row>
    <row r="53" spans="1:7" s="421" customFormat="1" ht="16.5" customHeight="1" x14ac:dyDescent="0.3">
      <c r="A53" s="451" t="s">
        <v>41</v>
      </c>
      <c r="B53" s="452">
        <f>COUNT(B45:B50)</f>
        <v>0</v>
      </c>
      <c r="C53" s="453"/>
      <c r="D53" s="454"/>
      <c r="E53" s="460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123</v>
      </c>
      <c r="B55" s="455" t="s">
        <v>124</v>
      </c>
      <c r="C55" s="456"/>
      <c r="D55" s="456"/>
      <c r="E55" s="456"/>
    </row>
    <row r="56" spans="1:7" ht="16.5" customHeight="1" x14ac:dyDescent="0.3">
      <c r="A56" s="428"/>
      <c r="B56" s="455" t="s">
        <v>125</v>
      </c>
      <c r="C56" s="456"/>
      <c r="D56" s="456"/>
      <c r="E56" s="456"/>
    </row>
    <row r="57" spans="1:7" ht="16.5" customHeight="1" x14ac:dyDescent="0.3">
      <c r="A57" s="428"/>
      <c r="B57" s="455" t="s">
        <v>126</v>
      </c>
      <c r="C57" s="456"/>
      <c r="D57" s="456"/>
      <c r="E57" s="456"/>
    </row>
    <row r="58" spans="1:7" ht="14.25" customHeight="1" thickBot="1" x14ac:dyDescent="0.3">
      <c r="A58" s="461"/>
      <c r="B58" s="462"/>
      <c r="D58" s="463"/>
      <c r="F58" s="464"/>
      <c r="G58" s="464"/>
    </row>
    <row r="59" spans="1:7" ht="15" customHeight="1" x14ac:dyDescent="0.3">
      <c r="B59" s="465" t="s">
        <v>67</v>
      </c>
      <c r="C59" s="466" t="s">
        <v>68</v>
      </c>
      <c r="E59" s="466" t="s">
        <v>69</v>
      </c>
      <c r="F59" s="467"/>
    </row>
    <row r="60" spans="1:7" ht="15" customHeight="1" x14ac:dyDescent="0.3">
      <c r="A60" s="468" t="s">
        <v>70</v>
      </c>
      <c r="B60" s="469"/>
      <c r="C60" s="469"/>
      <c r="E60" s="469"/>
    </row>
    <row r="61" spans="1:7" ht="15" customHeight="1" x14ac:dyDescent="0.3">
      <c r="A61" s="468" t="s">
        <v>71</v>
      </c>
      <c r="B61" s="470"/>
      <c r="C61" s="470"/>
      <c r="E61" s="471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7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8" zoomScale="60" zoomScaleNormal="40" zoomScalePageLayoutView="55" workbookViewId="0">
      <selection activeCell="H60" sqref="H60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522" t="s">
        <v>84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3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3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3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3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3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3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3">
      <c r="A8" s="523" t="s">
        <v>85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3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3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3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3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3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3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x14ac:dyDescent="0.3">
      <c r="A15" s="50"/>
    </row>
    <row r="16" spans="1:9" ht="19.5" customHeight="1" x14ac:dyDescent="0.3">
      <c r="A16" s="495" t="s">
        <v>72</v>
      </c>
      <c r="B16" s="496"/>
      <c r="C16" s="496"/>
      <c r="D16" s="496"/>
      <c r="E16" s="496"/>
      <c r="F16" s="496"/>
      <c r="G16" s="496"/>
      <c r="H16" s="497"/>
    </row>
    <row r="17" spans="1:14" ht="20.25" customHeight="1" x14ac:dyDescent="0.3">
      <c r="A17" s="498" t="s">
        <v>0</v>
      </c>
      <c r="B17" s="498"/>
      <c r="C17" s="498"/>
      <c r="D17" s="498"/>
      <c r="E17" s="498"/>
      <c r="F17" s="498"/>
      <c r="G17" s="498"/>
      <c r="H17" s="498"/>
    </row>
    <row r="18" spans="1:14" ht="26.25" customHeight="1" x14ac:dyDescent="0.4">
      <c r="A18" s="52" t="s">
        <v>1</v>
      </c>
      <c r="B18" s="494" t="s">
        <v>74</v>
      </c>
      <c r="C18" s="494"/>
      <c r="D18" s="217"/>
      <c r="E18" s="53"/>
      <c r="F18" s="54"/>
      <c r="G18" s="54"/>
      <c r="H18" s="54"/>
    </row>
    <row r="19" spans="1:14" ht="26.25" customHeight="1" x14ac:dyDescent="0.4">
      <c r="A19" s="52" t="s">
        <v>2</v>
      </c>
      <c r="B19" s="55" t="s">
        <v>75</v>
      </c>
      <c r="C19" s="219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</v>
      </c>
      <c r="B20" s="499" t="s">
        <v>76</v>
      </c>
      <c r="C20" s="499"/>
      <c r="D20" s="54"/>
      <c r="E20" s="54"/>
      <c r="F20" s="54"/>
      <c r="G20" s="54"/>
      <c r="H20" s="54"/>
    </row>
    <row r="21" spans="1:14" ht="26.25" customHeight="1" x14ac:dyDescent="0.4">
      <c r="A21" s="52" t="s">
        <v>4</v>
      </c>
      <c r="B21" s="499" t="s">
        <v>76</v>
      </c>
      <c r="C21" s="499"/>
      <c r="D21" s="499"/>
      <c r="E21" s="499"/>
      <c r="F21" s="499"/>
      <c r="G21" s="499"/>
      <c r="H21" s="499"/>
      <c r="I21" s="56"/>
    </row>
    <row r="22" spans="1:14" ht="26.25" customHeight="1" x14ac:dyDescent="0.4">
      <c r="A22" s="52" t="s">
        <v>5</v>
      </c>
      <c r="B22" s="57" t="s">
        <v>77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6</v>
      </c>
      <c r="B23" s="57"/>
      <c r="C23" s="54"/>
      <c r="D23" s="54"/>
      <c r="E23" s="54"/>
      <c r="F23" s="54"/>
      <c r="G23" s="54"/>
      <c r="H23" s="54"/>
    </row>
    <row r="24" spans="1:14" x14ac:dyDescent="0.3">
      <c r="A24" s="52"/>
      <c r="B24" s="58"/>
    </row>
    <row r="25" spans="1:14" x14ac:dyDescent="0.3">
      <c r="A25" s="59" t="s">
        <v>7</v>
      </c>
      <c r="B25" s="58"/>
    </row>
    <row r="26" spans="1:14" ht="26.25" customHeight="1" x14ac:dyDescent="0.4">
      <c r="A26" s="60" t="s">
        <v>8</v>
      </c>
      <c r="B26" s="494" t="s">
        <v>129</v>
      </c>
      <c r="C26" s="494"/>
    </row>
    <row r="27" spans="1:14" ht="26.25" customHeight="1" x14ac:dyDescent="0.4">
      <c r="A27" s="61" t="s">
        <v>9</v>
      </c>
      <c r="B27" s="500" t="s">
        <v>108</v>
      </c>
      <c r="C27" s="500"/>
    </row>
    <row r="28" spans="1:14" ht="27" customHeight="1" x14ac:dyDescent="0.4">
      <c r="A28" s="61" t="s">
        <v>10</v>
      </c>
      <c r="B28" s="62">
        <v>99.3</v>
      </c>
    </row>
    <row r="29" spans="1:14" s="3" customFormat="1" ht="27" customHeight="1" x14ac:dyDescent="0.4">
      <c r="A29" s="61" t="s">
        <v>11</v>
      </c>
      <c r="B29" s="63">
        <v>0</v>
      </c>
      <c r="C29" s="501" t="s">
        <v>12</v>
      </c>
      <c r="D29" s="502"/>
      <c r="E29" s="502"/>
      <c r="F29" s="502"/>
      <c r="G29" s="503"/>
      <c r="I29" s="64"/>
      <c r="J29" s="64"/>
      <c r="K29" s="64"/>
      <c r="L29" s="64"/>
    </row>
    <row r="30" spans="1:14" s="3" customFormat="1" ht="19.5" customHeight="1" x14ac:dyDescent="0.3">
      <c r="A30" s="61" t="s">
        <v>13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14</v>
      </c>
      <c r="B31" s="68">
        <v>1</v>
      </c>
      <c r="C31" s="504" t="s">
        <v>86</v>
      </c>
      <c r="D31" s="505"/>
      <c r="E31" s="505"/>
      <c r="F31" s="505"/>
      <c r="G31" s="505"/>
      <c r="H31" s="506"/>
      <c r="I31" s="64"/>
      <c r="J31" s="64"/>
      <c r="K31" s="64"/>
      <c r="L31" s="64"/>
    </row>
    <row r="32" spans="1:14" s="3" customFormat="1" ht="27" customHeight="1" x14ac:dyDescent="0.4">
      <c r="A32" s="61" t="s">
        <v>15</v>
      </c>
      <c r="B32" s="68">
        <v>1</v>
      </c>
      <c r="C32" s="504" t="s">
        <v>87</v>
      </c>
      <c r="D32" s="505"/>
      <c r="E32" s="505"/>
      <c r="F32" s="505"/>
      <c r="G32" s="505"/>
      <c r="H32" s="50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x14ac:dyDescent="0.3">
      <c r="A34" s="61" t="s">
        <v>16</v>
      </c>
      <c r="B34" s="73">
        <f>B31/B32</f>
        <v>1</v>
      </c>
      <c r="C34" s="51" t="s">
        <v>17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88</v>
      </c>
      <c r="B36" s="75">
        <v>50</v>
      </c>
      <c r="C36" s="51"/>
      <c r="D36" s="507" t="s">
        <v>18</v>
      </c>
      <c r="E36" s="508"/>
      <c r="F36" s="507" t="s">
        <v>19</v>
      </c>
      <c r="G36" s="50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20</v>
      </c>
      <c r="B37" s="77">
        <v>1</v>
      </c>
      <c r="C37" s="78" t="s">
        <v>45</v>
      </c>
      <c r="D37" s="79" t="s">
        <v>21</v>
      </c>
      <c r="E37" s="80" t="s">
        <v>22</v>
      </c>
      <c r="F37" s="79" t="s">
        <v>21</v>
      </c>
      <c r="G37" s="81" t="s">
        <v>22</v>
      </c>
      <c r="I37" s="82" t="s">
        <v>89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23</v>
      </c>
      <c r="B38" s="77">
        <v>25</v>
      </c>
      <c r="C38" s="83">
        <v>1</v>
      </c>
      <c r="D38" s="412">
        <v>242529</v>
      </c>
      <c r="E38" s="84">
        <f>IF(ISBLANK(D38),"-",$D$48/$D$45*D38)</f>
        <v>252939.79980826849</v>
      </c>
      <c r="F38" s="412">
        <v>271430</v>
      </c>
      <c r="G38" s="85">
        <f>IF(ISBLANK(F38),"-",$D$48/$F$45*F38)</f>
        <v>255365.66127315722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24</v>
      </c>
      <c r="B39" s="77">
        <v>1</v>
      </c>
      <c r="C39" s="87">
        <v>2</v>
      </c>
      <c r="D39" s="413">
        <v>241542</v>
      </c>
      <c r="E39" s="89">
        <f>IF(ISBLANK(D39),"-",$D$48/$D$45*D39)</f>
        <v>251910.43184645462</v>
      </c>
      <c r="F39" s="413">
        <v>273092</v>
      </c>
      <c r="G39" s="90">
        <f>IF(ISBLANK(F39),"-",$D$48/$F$45*F39)</f>
        <v>256929.29730836331</v>
      </c>
      <c r="I39" s="511">
        <f>ABS((F43/D43*D42)-F42)/D42</f>
        <v>1.484968321559502E-2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25</v>
      </c>
      <c r="B40" s="77">
        <v>1</v>
      </c>
      <c r="C40" s="87">
        <v>3</v>
      </c>
      <c r="D40" s="413">
        <v>251272</v>
      </c>
      <c r="E40" s="89">
        <f>IF(ISBLANK(D40),"-",$D$48/$D$45*D40)</f>
        <v>262058.10182461992</v>
      </c>
      <c r="F40" s="413">
        <v>281550</v>
      </c>
      <c r="G40" s="90">
        <f>IF(ISBLANK(F40),"-",$D$48/$F$45*F40)</f>
        <v>264886.71823843132</v>
      </c>
      <c r="I40" s="511"/>
      <c r="L40" s="69"/>
      <c r="M40" s="69"/>
      <c r="N40" s="91"/>
    </row>
    <row r="41" spans="1:14" ht="27" customHeight="1" x14ac:dyDescent="0.4">
      <c r="A41" s="76" t="s">
        <v>26</v>
      </c>
      <c r="B41" s="77">
        <v>1</v>
      </c>
      <c r="C41" s="92">
        <v>4</v>
      </c>
      <c r="D41" s="93"/>
      <c r="E41" s="94"/>
      <c r="F41" s="93"/>
      <c r="G41" s="95"/>
      <c r="I41" s="96"/>
      <c r="L41" s="69"/>
      <c r="M41" s="69"/>
      <c r="N41" s="91"/>
    </row>
    <row r="42" spans="1:14" ht="27" customHeight="1" x14ac:dyDescent="0.4">
      <c r="A42" s="76" t="s">
        <v>27</v>
      </c>
      <c r="B42" s="77">
        <v>1</v>
      </c>
      <c r="C42" s="97" t="s">
        <v>28</v>
      </c>
      <c r="D42" s="98">
        <f>AVERAGE(D38:D41)</f>
        <v>245114.33333333334</v>
      </c>
      <c r="E42" s="99">
        <f>AVERAGE(E38:E41)</f>
        <v>255636.11115978099</v>
      </c>
      <c r="F42" s="98">
        <f>AVERAGE(F38:F41)</f>
        <v>275357.33333333331</v>
      </c>
      <c r="G42" s="100">
        <f>AVERAGE(G38:G41)</f>
        <v>259060.55893998395</v>
      </c>
      <c r="H42" s="101"/>
    </row>
    <row r="43" spans="1:14" ht="26.25" customHeight="1" x14ac:dyDescent="0.4">
      <c r="A43" s="76" t="s">
        <v>29</v>
      </c>
      <c r="B43" s="77">
        <v>1</v>
      </c>
      <c r="C43" s="102" t="s">
        <v>90</v>
      </c>
      <c r="D43" s="103">
        <v>12.07</v>
      </c>
      <c r="E43" s="91"/>
      <c r="F43" s="103">
        <v>13.38</v>
      </c>
      <c r="H43" s="101"/>
    </row>
    <row r="44" spans="1:14" ht="26.25" customHeight="1" x14ac:dyDescent="0.4">
      <c r="A44" s="76" t="s">
        <v>31</v>
      </c>
      <c r="B44" s="77">
        <v>1</v>
      </c>
      <c r="C44" s="104" t="s">
        <v>91</v>
      </c>
      <c r="D44" s="105">
        <f>D43*$B$34</f>
        <v>12.07</v>
      </c>
      <c r="E44" s="106"/>
      <c r="F44" s="105">
        <f>F43*$B$34</f>
        <v>13.38</v>
      </c>
      <c r="H44" s="101"/>
    </row>
    <row r="45" spans="1:14" ht="19.5" customHeight="1" x14ac:dyDescent="0.3">
      <c r="A45" s="76" t="s">
        <v>33</v>
      </c>
      <c r="B45" s="107">
        <f>(B44/B43)*(B42/B41)*(B40/B39)*(B38/B37)*B36</f>
        <v>1250</v>
      </c>
      <c r="C45" s="104" t="s">
        <v>92</v>
      </c>
      <c r="D45" s="108">
        <f>D44*$B$30/100</f>
        <v>11.98551</v>
      </c>
      <c r="E45" s="109"/>
      <c r="F45" s="108">
        <f>F44*$B$30/100</f>
        <v>13.286340000000001</v>
      </c>
      <c r="H45" s="101"/>
    </row>
    <row r="46" spans="1:14" ht="19.5" customHeight="1" x14ac:dyDescent="0.3">
      <c r="A46" s="512" t="s">
        <v>35</v>
      </c>
      <c r="B46" s="513"/>
      <c r="C46" s="104" t="s">
        <v>93</v>
      </c>
      <c r="D46" s="110">
        <f>D45/$B$45</f>
        <v>9.5884079999999997E-3</v>
      </c>
      <c r="E46" s="111"/>
      <c r="F46" s="112">
        <f>F45/$B$45</f>
        <v>1.0629072000000002E-2</v>
      </c>
      <c r="H46" s="101"/>
    </row>
    <row r="47" spans="1:14" ht="27" customHeight="1" x14ac:dyDescent="0.4">
      <c r="A47" s="514"/>
      <c r="B47" s="515"/>
      <c r="C47" s="113" t="s">
        <v>94</v>
      </c>
      <c r="D47" s="114">
        <v>0.01</v>
      </c>
      <c r="E47" s="115"/>
      <c r="F47" s="111"/>
      <c r="H47" s="101"/>
    </row>
    <row r="48" spans="1:14" x14ac:dyDescent="0.3">
      <c r="C48" s="116" t="s">
        <v>37</v>
      </c>
      <c r="D48" s="108">
        <f>D47*$B$45</f>
        <v>12.5</v>
      </c>
      <c r="F48" s="117"/>
      <c r="H48" s="101"/>
    </row>
    <row r="49" spans="1:12" ht="19.5" customHeight="1" x14ac:dyDescent="0.3">
      <c r="C49" s="118" t="s">
        <v>38</v>
      </c>
      <c r="D49" s="119">
        <f>D48/B34</f>
        <v>12.5</v>
      </c>
      <c r="F49" s="117"/>
      <c r="H49" s="101"/>
    </row>
    <row r="50" spans="1:12" x14ac:dyDescent="0.3">
      <c r="C50" s="74" t="s">
        <v>39</v>
      </c>
      <c r="D50" s="120">
        <f>AVERAGE(E38:E41,G38:G41)</f>
        <v>257348.33504988244</v>
      </c>
      <c r="F50" s="121"/>
      <c r="H50" s="101"/>
    </row>
    <row r="51" spans="1:12" x14ac:dyDescent="0.3">
      <c r="C51" s="76" t="s">
        <v>40</v>
      </c>
      <c r="D51" s="122">
        <f>STDEV(E38:E41,G38:G41)/D50</f>
        <v>1.9974719486286749E-2</v>
      </c>
      <c r="F51" s="121"/>
      <c r="H51" s="101"/>
    </row>
    <row r="52" spans="1:12" ht="19.5" customHeight="1" x14ac:dyDescent="0.3">
      <c r="C52" s="123" t="s">
        <v>41</v>
      </c>
      <c r="D52" s="124">
        <f>COUNT(E38:E41,G38:G41)</f>
        <v>6</v>
      </c>
      <c r="F52" s="121"/>
    </row>
    <row r="54" spans="1:12" x14ac:dyDescent="0.3">
      <c r="A54" s="125" t="s">
        <v>7</v>
      </c>
      <c r="B54" s="126" t="s">
        <v>42</v>
      </c>
    </row>
    <row r="55" spans="1:12" x14ac:dyDescent="0.3">
      <c r="A55" s="51" t="s">
        <v>43</v>
      </c>
      <c r="B55" s="127" t="str">
        <f>B21</f>
        <v>Glimepiride 2mg, Metformin HCl 500mg</v>
      </c>
    </row>
    <row r="56" spans="1:12" ht="26.25" customHeight="1" x14ac:dyDescent="0.4">
      <c r="A56" s="128" t="s">
        <v>95</v>
      </c>
      <c r="B56" s="129">
        <v>2</v>
      </c>
      <c r="C56" s="51" t="str">
        <f>B20</f>
        <v>Glimepiride 2mg, Metformin HCl 500mg</v>
      </c>
      <c r="H56" s="130"/>
    </row>
    <row r="57" spans="1:12" x14ac:dyDescent="0.3">
      <c r="A57" s="127" t="s">
        <v>96</v>
      </c>
      <c r="B57" s="218">
        <f>Uniformity!C46</f>
        <v>612.47249999999997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97</v>
      </c>
      <c r="B59" s="75">
        <v>100</v>
      </c>
      <c r="C59" s="51"/>
      <c r="D59" s="131" t="s">
        <v>44</v>
      </c>
      <c r="E59" s="132" t="s">
        <v>45</v>
      </c>
      <c r="F59" s="132" t="s">
        <v>21</v>
      </c>
      <c r="G59" s="132" t="s">
        <v>46</v>
      </c>
      <c r="H59" s="78" t="s">
        <v>47</v>
      </c>
      <c r="L59" s="64"/>
    </row>
    <row r="60" spans="1:12" s="3" customFormat="1" ht="26.25" customHeight="1" x14ac:dyDescent="0.4">
      <c r="A60" s="76" t="s">
        <v>98</v>
      </c>
      <c r="B60" s="77">
        <v>10</v>
      </c>
      <c r="C60" s="516" t="s">
        <v>49</v>
      </c>
      <c r="D60" s="519">
        <v>604.16999999999996</v>
      </c>
      <c r="E60" s="133">
        <v>1</v>
      </c>
      <c r="F60" s="134">
        <v>262736</v>
      </c>
      <c r="G60" s="220">
        <f>IF(ISBLANK(F60),"-",(F60/$D$50*$D$47*$B$68)*($B$57/$D$60))</f>
        <v>2.0699299745615805</v>
      </c>
      <c r="H60" s="135">
        <f>IF(ISBLANK(F60),"-",G60/$B$56)</f>
        <v>1.0349649872807902</v>
      </c>
      <c r="L60" s="64"/>
    </row>
    <row r="61" spans="1:12" s="3" customFormat="1" ht="26.25" customHeight="1" x14ac:dyDescent="0.4">
      <c r="A61" s="76" t="s">
        <v>50</v>
      </c>
      <c r="B61" s="77">
        <v>20</v>
      </c>
      <c r="C61" s="517"/>
      <c r="D61" s="520"/>
      <c r="E61" s="136">
        <v>2</v>
      </c>
      <c r="F61" s="88">
        <v>265012</v>
      </c>
      <c r="G61" s="221">
        <f>IF(ISBLANK(F61),"-",(F61/$D$50*$D$47*$B$68)*($B$57/$D$60))</f>
        <v>2.0878611321574261</v>
      </c>
      <c r="H61" s="137">
        <f t="shared" ref="H61:H69" si="0">IF(ISBLANK(F61),"-",G61/$B$56)</f>
        <v>1.043930566078713</v>
      </c>
      <c r="L61" s="64"/>
    </row>
    <row r="62" spans="1:12" s="3" customFormat="1" ht="26.25" customHeight="1" x14ac:dyDescent="0.4">
      <c r="A62" s="76" t="s">
        <v>51</v>
      </c>
      <c r="B62" s="77">
        <v>1</v>
      </c>
      <c r="C62" s="517"/>
      <c r="D62" s="520"/>
      <c r="E62" s="136">
        <v>3</v>
      </c>
      <c r="F62" s="138">
        <v>265665</v>
      </c>
      <c r="G62" s="221">
        <f>IF(ISBLANK(F62),"-",(F62/$D$50*$D$47*$B$68)*($B$57/$D$60))</f>
        <v>2.0930057041741605</v>
      </c>
      <c r="H62" s="137">
        <f t="shared" si="0"/>
        <v>1.0465028520870803</v>
      </c>
      <c r="L62" s="64"/>
    </row>
    <row r="63" spans="1:12" ht="27" customHeight="1" x14ac:dyDescent="0.4">
      <c r="A63" s="76" t="s">
        <v>52</v>
      </c>
      <c r="B63" s="77">
        <v>1</v>
      </c>
      <c r="C63" s="518"/>
      <c r="D63" s="521"/>
      <c r="E63" s="139">
        <v>4</v>
      </c>
      <c r="F63" s="140"/>
      <c r="G63" s="221"/>
      <c r="H63" s="137"/>
    </row>
    <row r="64" spans="1:12" ht="26.25" customHeight="1" x14ac:dyDescent="0.4">
      <c r="A64" s="76" t="s">
        <v>53</v>
      </c>
      <c r="B64" s="77">
        <v>1</v>
      </c>
      <c r="C64" s="516" t="s">
        <v>54</v>
      </c>
      <c r="D64" s="519">
        <v>608.82000000000005</v>
      </c>
      <c r="E64" s="133">
        <v>1</v>
      </c>
      <c r="F64" s="134">
        <v>273729</v>
      </c>
      <c r="G64" s="222">
        <f>IF(ISBLANK(F64),"-",(F64/$D$50*$D$47*$B$68)*($B$57/$D$64))</f>
        <v>2.1400657992381436</v>
      </c>
      <c r="H64" s="141">
        <f>IF(ISBLANK(F64),"-",G64/$B$56)</f>
        <v>1.0700328996190718</v>
      </c>
    </row>
    <row r="65" spans="1:8" ht="26.25" customHeight="1" x14ac:dyDescent="0.4">
      <c r="A65" s="76" t="s">
        <v>55</v>
      </c>
      <c r="B65" s="77">
        <v>1</v>
      </c>
      <c r="C65" s="517"/>
      <c r="D65" s="520"/>
      <c r="E65" s="136">
        <v>2</v>
      </c>
      <c r="F65" s="88">
        <v>274882</v>
      </c>
      <c r="G65" s="223">
        <f>IF(ISBLANK(F65),"-",(F65/$D$50*$D$47*$B$68)*($B$57/$D$64))</f>
        <v>2.1490801742825179</v>
      </c>
      <c r="H65" s="142">
        <f t="shared" si="0"/>
        <v>1.0745400871412589</v>
      </c>
    </row>
    <row r="66" spans="1:8" ht="26.25" customHeight="1" x14ac:dyDescent="0.4">
      <c r="A66" s="76" t="s">
        <v>56</v>
      </c>
      <c r="B66" s="77">
        <v>1</v>
      </c>
      <c r="C66" s="517"/>
      <c r="D66" s="520"/>
      <c r="E66" s="136">
        <v>3</v>
      </c>
      <c r="F66" s="88">
        <v>276873</v>
      </c>
      <c r="G66" s="223">
        <f>IF(ISBLANK(F66),"-",(F66/$D$50*$D$47*$B$68)*($B$57/$D$64))</f>
        <v>2.1646461939818673</v>
      </c>
      <c r="H66" s="142">
        <f t="shared" si="0"/>
        <v>1.0823230969909337</v>
      </c>
    </row>
    <row r="67" spans="1:8" ht="27" customHeight="1" x14ac:dyDescent="0.4">
      <c r="A67" s="76" t="s">
        <v>57</v>
      </c>
      <c r="B67" s="77">
        <v>1</v>
      </c>
      <c r="C67" s="518"/>
      <c r="D67" s="521"/>
      <c r="E67" s="139">
        <v>4</v>
      </c>
      <c r="F67" s="140"/>
      <c r="G67" s="224"/>
      <c r="H67" s="143"/>
    </row>
    <row r="68" spans="1:8" ht="26.25" customHeight="1" x14ac:dyDescent="0.4">
      <c r="A68" s="76" t="s">
        <v>58</v>
      </c>
      <c r="B68" s="144">
        <f>(B67/B66)*(B65/B64)*(B63/B62)*(B61/B60)*B59</f>
        <v>200</v>
      </c>
      <c r="C68" s="516" t="s">
        <v>59</v>
      </c>
      <c r="D68" s="519">
        <v>617.83000000000004</v>
      </c>
      <c r="E68" s="133">
        <v>1</v>
      </c>
      <c r="F68" s="134">
        <v>276271</v>
      </c>
      <c r="G68" s="222">
        <f>IF(ISBLANK(F68),"-",(F68/$D$50*$D$47*$B$68)*($B$57/$D$68))</f>
        <v>2.1284405956170551</v>
      </c>
      <c r="H68" s="137">
        <f>IF(ISBLANK(F68),"-",G68/$B$56)</f>
        <v>1.0642202978085276</v>
      </c>
    </row>
    <row r="69" spans="1:8" ht="27" customHeight="1" x14ac:dyDescent="0.4">
      <c r="A69" s="123" t="s">
        <v>60</v>
      </c>
      <c r="B69" s="145">
        <f>(D47*B68)/B56*B57</f>
        <v>612.47249999999997</v>
      </c>
      <c r="C69" s="517"/>
      <c r="D69" s="520"/>
      <c r="E69" s="136">
        <v>2</v>
      </c>
      <c r="F69" s="88">
        <v>278586</v>
      </c>
      <c r="G69" s="223">
        <f>IF(ISBLANK(F69),"-",(F69/$D$50*$D$47*$B$68)*($B$57/$D$68))</f>
        <v>2.146275764631731</v>
      </c>
      <c r="H69" s="137">
        <f t="shared" si="0"/>
        <v>1.0731378823158655</v>
      </c>
    </row>
    <row r="70" spans="1:8" ht="26.25" customHeight="1" x14ac:dyDescent="0.4">
      <c r="A70" s="529" t="s">
        <v>35</v>
      </c>
      <c r="B70" s="530"/>
      <c r="C70" s="517"/>
      <c r="D70" s="520"/>
      <c r="E70" s="136">
        <v>3</v>
      </c>
      <c r="F70" s="88"/>
      <c r="G70" s="223"/>
      <c r="H70" s="137"/>
    </row>
    <row r="71" spans="1:8" ht="27" customHeight="1" x14ac:dyDescent="0.4">
      <c r="A71" s="531"/>
      <c r="B71" s="532"/>
      <c r="C71" s="528"/>
      <c r="D71" s="521"/>
      <c r="E71" s="139">
        <v>4</v>
      </c>
      <c r="F71" s="140"/>
      <c r="G71" s="224"/>
      <c r="H71" s="146"/>
    </row>
    <row r="72" spans="1:8" ht="26.25" customHeight="1" x14ac:dyDescent="0.4">
      <c r="A72" s="147"/>
      <c r="B72" s="147"/>
      <c r="C72" s="147"/>
      <c r="D72" s="147"/>
      <c r="E72" s="147"/>
      <c r="F72" s="148"/>
      <c r="G72" s="149" t="s">
        <v>28</v>
      </c>
      <c r="H72" s="150">
        <f>AVERAGE(H60:H71)</f>
        <v>1.06120658366528</v>
      </c>
    </row>
    <row r="73" spans="1:8" ht="26.25" customHeight="1" x14ac:dyDescent="0.4">
      <c r="C73" s="147"/>
      <c r="D73" s="147"/>
      <c r="E73" s="147"/>
      <c r="F73" s="148"/>
      <c r="G73" s="151" t="s">
        <v>40</v>
      </c>
      <c r="H73" s="225">
        <f>STDEV(H60:H71)/H72</f>
        <v>1.6150862248700992E-2</v>
      </c>
    </row>
    <row r="74" spans="1:8" ht="27" customHeight="1" x14ac:dyDescent="0.4">
      <c r="A74" s="147"/>
      <c r="B74" s="147"/>
      <c r="C74" s="148"/>
      <c r="D74" s="148"/>
      <c r="E74" s="152"/>
      <c r="F74" s="148"/>
      <c r="G74" s="153" t="s">
        <v>41</v>
      </c>
      <c r="H74" s="154">
        <f>COUNT(H60:H71)</f>
        <v>8</v>
      </c>
    </row>
    <row r="76" spans="1:8" ht="26.25" customHeight="1" x14ac:dyDescent="0.4">
      <c r="A76" s="60" t="s">
        <v>99</v>
      </c>
      <c r="B76" s="155" t="s">
        <v>100</v>
      </c>
      <c r="C76" s="524" t="str">
        <f>B20</f>
        <v>Glimepiride 2mg, Metformin HCl 500mg</v>
      </c>
      <c r="D76" s="524"/>
      <c r="E76" s="156" t="s">
        <v>101</v>
      </c>
      <c r="F76" s="156"/>
      <c r="G76" s="157">
        <f>H72</f>
        <v>1.06120658366528</v>
      </c>
      <c r="H76" s="158"/>
    </row>
    <row r="77" spans="1:8" x14ac:dyDescent="0.3">
      <c r="A77" s="59" t="s">
        <v>102</v>
      </c>
      <c r="B77" s="59" t="s">
        <v>61</v>
      </c>
    </row>
    <row r="78" spans="1:8" x14ac:dyDescent="0.3">
      <c r="A78" s="59"/>
      <c r="B78" s="59"/>
    </row>
    <row r="79" spans="1:8" ht="26.25" customHeight="1" x14ac:dyDescent="0.4">
      <c r="A79" s="60" t="s">
        <v>8</v>
      </c>
      <c r="B79" s="510" t="str">
        <f>B26</f>
        <v>Glimepiride</v>
      </c>
      <c r="C79" s="510"/>
    </row>
    <row r="80" spans="1:8" ht="26.25" customHeight="1" x14ac:dyDescent="0.4">
      <c r="A80" s="61" t="s">
        <v>9</v>
      </c>
      <c r="B80" s="510" t="str">
        <f>B27</f>
        <v>G</v>
      </c>
      <c r="C80" s="510"/>
    </row>
    <row r="81" spans="1:12" ht="27" customHeight="1" x14ac:dyDescent="0.4">
      <c r="A81" s="61" t="s">
        <v>10</v>
      </c>
      <c r="B81" s="159">
        <f>B28</f>
        <v>99.3</v>
      </c>
    </row>
    <row r="82" spans="1:12" s="3" customFormat="1" ht="27" customHeight="1" x14ac:dyDescent="0.4">
      <c r="A82" s="61" t="s">
        <v>11</v>
      </c>
      <c r="B82" s="63">
        <v>0</v>
      </c>
      <c r="C82" s="501" t="s">
        <v>12</v>
      </c>
      <c r="D82" s="502"/>
      <c r="E82" s="502"/>
      <c r="F82" s="502"/>
      <c r="G82" s="503"/>
      <c r="I82" s="64"/>
      <c r="J82" s="64"/>
      <c r="K82" s="64"/>
      <c r="L82" s="64"/>
    </row>
    <row r="83" spans="1:12" s="3" customFormat="1" ht="19.5" customHeight="1" x14ac:dyDescent="0.3">
      <c r="A83" s="61" t="s">
        <v>13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14</v>
      </c>
      <c r="B84" s="68">
        <v>1</v>
      </c>
      <c r="C84" s="504" t="s">
        <v>103</v>
      </c>
      <c r="D84" s="505"/>
      <c r="E84" s="505"/>
      <c r="F84" s="505"/>
      <c r="G84" s="505"/>
      <c r="H84" s="506"/>
      <c r="I84" s="64"/>
      <c r="J84" s="64"/>
      <c r="K84" s="64"/>
      <c r="L84" s="64"/>
    </row>
    <row r="85" spans="1:12" s="3" customFormat="1" ht="27" customHeight="1" x14ac:dyDescent="0.4">
      <c r="A85" s="61" t="s">
        <v>15</v>
      </c>
      <c r="B85" s="68">
        <v>1</v>
      </c>
      <c r="C85" s="504" t="s">
        <v>104</v>
      </c>
      <c r="D85" s="505"/>
      <c r="E85" s="505"/>
      <c r="F85" s="505"/>
      <c r="G85" s="505"/>
      <c r="H85" s="506"/>
      <c r="I85" s="64"/>
      <c r="J85" s="64"/>
      <c r="K85" s="64"/>
      <c r="L85" s="64"/>
    </row>
    <row r="86" spans="1:12" s="3" customFormat="1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x14ac:dyDescent="0.3">
      <c r="A87" s="61" t="s">
        <v>16</v>
      </c>
      <c r="B87" s="73">
        <f>B84/B85</f>
        <v>1</v>
      </c>
      <c r="C87" s="51" t="s">
        <v>17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88</v>
      </c>
      <c r="B89" s="254">
        <v>50</v>
      </c>
      <c r="D89" s="160" t="s">
        <v>18</v>
      </c>
      <c r="E89" s="161"/>
      <c r="F89" s="507" t="s">
        <v>19</v>
      </c>
      <c r="G89" s="509"/>
    </row>
    <row r="90" spans="1:12" ht="27" customHeight="1" x14ac:dyDescent="0.4">
      <c r="A90" s="76" t="s">
        <v>20</v>
      </c>
      <c r="B90" s="256">
        <v>3</v>
      </c>
      <c r="C90" s="162" t="s">
        <v>45</v>
      </c>
      <c r="D90" s="79" t="s">
        <v>21</v>
      </c>
      <c r="E90" s="80" t="s">
        <v>22</v>
      </c>
      <c r="F90" s="79" t="s">
        <v>21</v>
      </c>
      <c r="G90" s="163" t="s">
        <v>22</v>
      </c>
      <c r="I90" s="82" t="s">
        <v>89</v>
      </c>
    </row>
    <row r="91" spans="1:12" ht="26.25" customHeight="1" x14ac:dyDescent="0.4">
      <c r="A91" s="76" t="s">
        <v>23</v>
      </c>
      <c r="B91" s="256">
        <v>20</v>
      </c>
      <c r="C91" s="164">
        <v>1</v>
      </c>
      <c r="D91" s="412">
        <v>104662</v>
      </c>
      <c r="E91" s="84">
        <f>IF(ISBLANK(D91),"-",$D$101/$D$98*D91)</f>
        <v>119196.83188027248</v>
      </c>
      <c r="F91" s="412">
        <v>109591</v>
      </c>
      <c r="G91" s="85">
        <f>IF(ISBLANK(F91),"-",$D$101/$F$98*F91)</f>
        <v>105108.13791780559</v>
      </c>
      <c r="I91" s="86"/>
    </row>
    <row r="92" spans="1:12" ht="26.25" customHeight="1" x14ac:dyDescent="0.4">
      <c r="A92" s="76" t="s">
        <v>24</v>
      </c>
      <c r="B92" s="256">
        <v>2</v>
      </c>
      <c r="C92" s="148">
        <v>2</v>
      </c>
      <c r="D92" s="413">
        <v>105172</v>
      </c>
      <c r="E92" s="89">
        <f>IF(ISBLANK(D92),"-",$D$101/$D$98*D92)</f>
        <v>119777.6576265695</v>
      </c>
      <c r="F92" s="413">
        <v>127415</v>
      </c>
      <c r="G92" s="90">
        <f>IF(ISBLANK(F92),"-",$D$101/$F$98*F92)</f>
        <v>122203.04032992855</v>
      </c>
      <c r="I92" s="511">
        <f>ABS((F96/D96*D95)-F95)/D95</f>
        <v>4.6770506192849753E-2</v>
      </c>
    </row>
    <row r="93" spans="1:12" ht="26.25" customHeight="1" x14ac:dyDescent="0.4">
      <c r="A93" s="76" t="s">
        <v>25</v>
      </c>
      <c r="B93" s="256">
        <v>20</v>
      </c>
      <c r="C93" s="148">
        <v>3</v>
      </c>
      <c r="D93" s="413">
        <v>115821</v>
      </c>
      <c r="E93" s="268">
        <f>IF(ISBLANK(D93),"-",$D$101/$D$98*D93)</f>
        <v>131905.52698405381</v>
      </c>
      <c r="F93" s="413">
        <v>134461</v>
      </c>
      <c r="G93" s="269">
        <f>IF(ISBLANK(F93),"-",$D$101/$F$98*F93)</f>
        <v>128960.82098499018</v>
      </c>
      <c r="I93" s="511"/>
    </row>
    <row r="94" spans="1:12" ht="27" customHeight="1" x14ac:dyDescent="0.4">
      <c r="A94" s="76" t="s">
        <v>26</v>
      </c>
      <c r="B94" s="77">
        <v>1</v>
      </c>
      <c r="C94" s="165">
        <v>4</v>
      </c>
      <c r="D94" s="272"/>
      <c r="E94" s="94"/>
      <c r="F94" s="345"/>
      <c r="G94" s="95"/>
      <c r="I94" s="96"/>
    </row>
    <row r="95" spans="1:12" ht="27" customHeight="1" x14ac:dyDescent="0.4">
      <c r="A95" s="76" t="s">
        <v>27</v>
      </c>
      <c r="B95" s="77">
        <v>1</v>
      </c>
      <c r="C95" s="166" t="s">
        <v>28</v>
      </c>
      <c r="D95" s="167">
        <f>AVERAGE(D91:D94)</f>
        <v>108551.66666666667</v>
      </c>
      <c r="E95" s="99">
        <f>AVERAGE(E91:E94)</f>
        <v>123626.67216363193</v>
      </c>
      <c r="F95" s="168">
        <f>AVERAGE(F91:F94)</f>
        <v>123822.33333333333</v>
      </c>
      <c r="G95" s="169">
        <f>AVERAGE(G91:G94)</f>
        <v>118757.33307757477</v>
      </c>
    </row>
    <row r="96" spans="1:12" ht="26.25" customHeight="1" x14ac:dyDescent="0.4">
      <c r="A96" s="76" t="s">
        <v>29</v>
      </c>
      <c r="B96" s="62">
        <v>1</v>
      </c>
      <c r="C96" s="170" t="s">
        <v>30</v>
      </c>
      <c r="D96" s="351">
        <v>11.79</v>
      </c>
      <c r="E96" s="91"/>
      <c r="F96" s="484">
        <v>14</v>
      </c>
    </row>
    <row r="97" spans="1:10" ht="26.25" customHeight="1" x14ac:dyDescent="0.4">
      <c r="A97" s="76" t="s">
        <v>31</v>
      </c>
      <c r="B97" s="62">
        <v>1</v>
      </c>
      <c r="C97" s="171" t="s">
        <v>32</v>
      </c>
      <c r="D97" s="172">
        <f>D96*$B$87</f>
        <v>11.79</v>
      </c>
      <c r="E97" s="106"/>
      <c r="F97" s="105">
        <f>F96*$B$87</f>
        <v>14</v>
      </c>
    </row>
    <row r="98" spans="1:10" ht="19.5" customHeight="1" x14ac:dyDescent="0.3">
      <c r="A98" s="76" t="s">
        <v>33</v>
      </c>
      <c r="B98" s="173">
        <f>(B97/B96)*(B95/B94)*(B93/B92)*(B91/B90)*B89</f>
        <v>3333.3333333333335</v>
      </c>
      <c r="C98" s="171" t="s">
        <v>34</v>
      </c>
      <c r="D98" s="174">
        <f>D97*$B$83/100</f>
        <v>11.707469999999999</v>
      </c>
      <c r="E98" s="109"/>
      <c r="F98" s="108">
        <f>F97*$B$83/100</f>
        <v>13.902000000000001</v>
      </c>
    </row>
    <row r="99" spans="1:10" ht="19.5" customHeight="1" x14ac:dyDescent="0.3">
      <c r="A99" s="512" t="s">
        <v>35</v>
      </c>
      <c r="B99" s="526"/>
      <c r="C99" s="171" t="s">
        <v>36</v>
      </c>
      <c r="D99" s="175">
        <f>D98/$B$98</f>
        <v>3.5122409999999997E-3</v>
      </c>
      <c r="E99" s="109"/>
      <c r="F99" s="112">
        <f>F98/$B$98</f>
        <v>4.1706E-3</v>
      </c>
      <c r="G99" s="176"/>
      <c r="H99" s="101"/>
    </row>
    <row r="100" spans="1:10" ht="19.5" customHeight="1" x14ac:dyDescent="0.3">
      <c r="A100" s="514"/>
      <c r="B100" s="527"/>
      <c r="C100" s="171" t="s">
        <v>94</v>
      </c>
      <c r="D100" s="177">
        <f>2/500</f>
        <v>4.0000000000000001E-3</v>
      </c>
      <c r="F100" s="117"/>
      <c r="G100" s="178"/>
      <c r="H100" s="101"/>
    </row>
    <row r="101" spans="1:10" x14ac:dyDescent="0.3">
      <c r="C101" s="171" t="s">
        <v>37</v>
      </c>
      <c r="D101" s="172">
        <f>D100*$B$98</f>
        <v>13.333333333333334</v>
      </c>
      <c r="F101" s="117"/>
      <c r="G101" s="176"/>
      <c r="H101" s="101"/>
    </row>
    <row r="102" spans="1:10" ht="19.5" customHeight="1" x14ac:dyDescent="0.3">
      <c r="C102" s="179" t="s">
        <v>38</v>
      </c>
      <c r="D102" s="180">
        <f>D101/B34</f>
        <v>13.333333333333334</v>
      </c>
      <c r="F102" s="121"/>
      <c r="G102" s="176"/>
      <c r="H102" s="101"/>
      <c r="J102" s="181"/>
    </row>
    <row r="103" spans="1:10" x14ac:dyDescent="0.3">
      <c r="C103" s="182" t="s">
        <v>62</v>
      </c>
      <c r="D103" s="183">
        <f>AVERAGE(E91:E94,G91:G94)</f>
        <v>121192.00262060335</v>
      </c>
      <c r="F103" s="121"/>
      <c r="G103" s="184"/>
      <c r="H103" s="101"/>
      <c r="J103" s="185"/>
    </row>
    <row r="104" spans="1:10" x14ac:dyDescent="0.3">
      <c r="C104" s="151" t="s">
        <v>40</v>
      </c>
      <c r="D104" s="186">
        <f>STDEV(E91:E94,G91:G94)/D103</f>
        <v>7.7477514839823167E-2</v>
      </c>
      <c r="F104" s="121"/>
      <c r="G104" s="176" t="s">
        <v>109</v>
      </c>
      <c r="H104" s="101"/>
      <c r="J104" s="185"/>
    </row>
    <row r="105" spans="1:10" ht="19.5" customHeight="1" x14ac:dyDescent="0.3">
      <c r="C105" s="153" t="s">
        <v>41</v>
      </c>
      <c r="D105" s="187">
        <f>COUNT(E91:E94,G91:G94)</f>
        <v>6</v>
      </c>
      <c r="F105" s="121"/>
      <c r="G105" s="176"/>
      <c r="H105" s="101"/>
      <c r="J105" s="185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63</v>
      </c>
      <c r="B107" s="75">
        <v>500</v>
      </c>
      <c r="C107" s="188" t="s">
        <v>64</v>
      </c>
      <c r="D107" s="189" t="s">
        <v>21</v>
      </c>
      <c r="E107" s="190" t="s">
        <v>65</v>
      </c>
      <c r="F107" s="191" t="s">
        <v>66</v>
      </c>
    </row>
    <row r="108" spans="1:10" ht="26.25" customHeight="1" x14ac:dyDescent="0.4">
      <c r="A108" s="76" t="s">
        <v>48</v>
      </c>
      <c r="B108" s="77">
        <v>1</v>
      </c>
      <c r="C108" s="192">
        <v>1</v>
      </c>
      <c r="D108" s="374">
        <v>116090</v>
      </c>
      <c r="E108" s="226">
        <f>IF(ISBLANK(D108),"-",D108/$D$103*$D$100*$B$116)</f>
        <v>1.9158029818753737</v>
      </c>
      <c r="F108" s="193">
        <f>IF(ISBLANK(D108), "-", E108/$B$56)</f>
        <v>0.95790149093768684</v>
      </c>
    </row>
    <row r="109" spans="1:10" ht="26.25" customHeight="1" x14ac:dyDescent="0.4">
      <c r="A109" s="76" t="s">
        <v>50</v>
      </c>
      <c r="B109" s="77">
        <v>1</v>
      </c>
      <c r="C109" s="192">
        <v>2</v>
      </c>
      <c r="D109" s="374">
        <v>121483</v>
      </c>
      <c r="E109" s="227">
        <f t="shared" ref="E109:E113" si="1">IF(ISBLANK(D109),"-",D109/$D$103*$D$100*$B$116)</f>
        <v>2.004802253830356</v>
      </c>
      <c r="F109" s="194">
        <f t="shared" ref="F109:F113" si="2">IF(ISBLANK(D109), "-", E109/$B$56)</f>
        <v>1.002401126915178</v>
      </c>
    </row>
    <row r="110" spans="1:10" ht="26.25" customHeight="1" x14ac:dyDescent="0.4">
      <c r="A110" s="76" t="s">
        <v>51</v>
      </c>
      <c r="B110" s="77">
        <v>1</v>
      </c>
      <c r="C110" s="192">
        <v>3</v>
      </c>
      <c r="D110" s="374">
        <v>118548</v>
      </c>
      <c r="E110" s="227">
        <f t="shared" si="1"/>
        <v>1.9563667145780155</v>
      </c>
      <c r="F110" s="194">
        <f>IF(ISBLANK(D110), "-", E110/$B$56)</f>
        <v>0.97818335728900774</v>
      </c>
    </row>
    <row r="111" spans="1:10" ht="26.25" customHeight="1" x14ac:dyDescent="0.4">
      <c r="A111" s="76" t="s">
        <v>52</v>
      </c>
      <c r="B111" s="77">
        <v>1</v>
      </c>
      <c r="C111" s="192">
        <v>4</v>
      </c>
      <c r="D111" s="374">
        <v>119857</v>
      </c>
      <c r="E111" s="227">
        <f t="shared" si="1"/>
        <v>1.9779688000571682</v>
      </c>
      <c r="F111" s="194">
        <f t="shared" si="2"/>
        <v>0.98898440002858412</v>
      </c>
    </row>
    <row r="112" spans="1:10" ht="26.25" customHeight="1" x14ac:dyDescent="0.4">
      <c r="A112" s="76" t="s">
        <v>53</v>
      </c>
      <c r="B112" s="77">
        <v>1</v>
      </c>
      <c r="C112" s="192">
        <v>5</v>
      </c>
      <c r="D112" s="374">
        <v>114633</v>
      </c>
      <c r="E112" s="227">
        <f t="shared" si="1"/>
        <v>1.8917584910097314</v>
      </c>
      <c r="F112" s="194">
        <f>IF(ISBLANK(D112), "-", E112/$B$56)</f>
        <v>0.94587924550486568</v>
      </c>
    </row>
    <row r="113" spans="1:10" ht="26.25" customHeight="1" x14ac:dyDescent="0.4">
      <c r="A113" s="76" t="s">
        <v>55</v>
      </c>
      <c r="B113" s="77">
        <v>1</v>
      </c>
      <c r="C113" s="195">
        <v>6</v>
      </c>
      <c r="D113" s="378">
        <v>121290</v>
      </c>
      <c r="E113" s="228">
        <f t="shared" si="1"/>
        <v>2.0016172251844608</v>
      </c>
      <c r="F113" s="196">
        <f t="shared" si="2"/>
        <v>1.0008086125922304</v>
      </c>
    </row>
    <row r="114" spans="1:10" ht="26.25" customHeight="1" x14ac:dyDescent="0.4">
      <c r="A114" s="76" t="s">
        <v>56</v>
      </c>
      <c r="B114" s="77">
        <v>1</v>
      </c>
      <c r="C114" s="192"/>
      <c r="D114" s="148"/>
      <c r="E114" s="50"/>
      <c r="F114" s="197"/>
    </row>
    <row r="115" spans="1:10" ht="26.25" customHeight="1" x14ac:dyDescent="0.4">
      <c r="A115" s="76" t="s">
        <v>57</v>
      </c>
      <c r="B115" s="77">
        <v>1</v>
      </c>
      <c r="C115" s="192"/>
      <c r="D115" s="198"/>
      <c r="E115" s="199" t="s">
        <v>28</v>
      </c>
      <c r="F115" s="200">
        <f>AVERAGE(F108:F113)</f>
        <v>0.97902637221125888</v>
      </c>
    </row>
    <row r="116" spans="1:10" ht="27" customHeight="1" x14ac:dyDescent="0.4">
      <c r="A116" s="76" t="s">
        <v>58</v>
      </c>
      <c r="B116" s="107">
        <f>(B115/B114)*(B113/B112)*(B111/B110)*(B109/B108)*B107</f>
        <v>500</v>
      </c>
      <c r="C116" s="201"/>
      <c r="D116" s="202"/>
      <c r="E116" s="166" t="s">
        <v>40</v>
      </c>
      <c r="F116" s="203">
        <f>STDEV(F108:F113)/F115</f>
        <v>2.3584524246997893E-2</v>
      </c>
      <c r="I116" s="50"/>
    </row>
    <row r="117" spans="1:10" ht="27" customHeight="1" x14ac:dyDescent="0.4">
      <c r="A117" s="512" t="s">
        <v>35</v>
      </c>
      <c r="B117" s="513"/>
      <c r="C117" s="204"/>
      <c r="D117" s="205"/>
      <c r="E117" s="206" t="s">
        <v>41</v>
      </c>
      <c r="F117" s="207">
        <f>COUNT(F108:F113)</f>
        <v>6</v>
      </c>
      <c r="I117" s="50"/>
      <c r="J117" s="185"/>
    </row>
    <row r="118" spans="1:10" ht="19.5" customHeight="1" x14ac:dyDescent="0.3">
      <c r="A118" s="514"/>
      <c r="B118" s="515"/>
      <c r="C118" s="50"/>
      <c r="D118" s="50"/>
      <c r="E118" s="50"/>
      <c r="F118" s="148"/>
      <c r="G118" s="50"/>
      <c r="H118" s="50"/>
      <c r="I118" s="50"/>
    </row>
    <row r="119" spans="1:10" x14ac:dyDescent="0.3">
      <c r="A119" s="216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99</v>
      </c>
      <c r="B120" s="155" t="s">
        <v>105</v>
      </c>
      <c r="C120" s="524" t="str">
        <f>B20</f>
        <v>Glimepiride 2mg, Metformin HCl 500mg</v>
      </c>
      <c r="D120" s="524"/>
      <c r="E120" s="156" t="s">
        <v>106</v>
      </c>
      <c r="F120" s="156"/>
      <c r="G120" s="157">
        <f>F115</f>
        <v>0.97902637221125888</v>
      </c>
      <c r="H120" s="50"/>
      <c r="I120" s="50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x14ac:dyDescent="0.3">
      <c r="B122" s="525" t="s">
        <v>67</v>
      </c>
      <c r="C122" s="525"/>
      <c r="E122" s="162" t="s">
        <v>68</v>
      </c>
      <c r="F122" s="210"/>
      <c r="G122" s="525" t="s">
        <v>69</v>
      </c>
      <c r="H122" s="525"/>
    </row>
    <row r="123" spans="1:10" ht="69.95" customHeight="1" x14ac:dyDescent="0.3">
      <c r="A123" s="211" t="s">
        <v>70</v>
      </c>
      <c r="B123" s="212"/>
      <c r="C123" s="212"/>
      <c r="E123" s="212"/>
      <c r="F123" s="50"/>
      <c r="G123" s="213"/>
      <c r="H123" s="213"/>
    </row>
    <row r="124" spans="1:10" ht="69.95" customHeight="1" x14ac:dyDescent="0.3">
      <c r="A124" s="211" t="s">
        <v>71</v>
      </c>
      <c r="B124" s="214"/>
      <c r="C124" s="214"/>
      <c r="E124" s="214"/>
      <c r="F124" s="50"/>
      <c r="G124" s="215"/>
      <c r="H124" s="215"/>
    </row>
    <row r="125" spans="1:10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23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5" workbookViewId="0">
      <selection activeCell="G118" sqref="G118"/>
    </sheetView>
  </sheetViews>
  <sheetFormatPr defaultColWidth="9.140625" defaultRowHeight="18.75" x14ac:dyDescent="0.3"/>
  <cols>
    <col min="1" max="1" width="55.42578125" style="335" customWidth="1"/>
    <col min="2" max="2" width="33.7109375" style="335" customWidth="1"/>
    <col min="3" max="3" width="42.28515625" style="335" customWidth="1"/>
    <col min="4" max="4" width="30.5703125" style="335" customWidth="1"/>
    <col min="5" max="5" width="39.85546875" style="335" customWidth="1"/>
    <col min="6" max="6" width="30.7109375" style="335" customWidth="1"/>
    <col min="7" max="7" width="39.85546875" style="335" customWidth="1"/>
    <col min="8" max="8" width="30" style="335" customWidth="1"/>
    <col min="9" max="9" width="30.28515625" style="335" hidden="1" customWidth="1"/>
    <col min="10" max="10" width="30.42578125" style="335" customWidth="1"/>
    <col min="11" max="11" width="21.28515625" style="335" customWidth="1"/>
    <col min="12" max="12" width="9.140625" style="335"/>
  </cols>
  <sheetData>
    <row r="1" spans="1:9" ht="18.75" customHeight="1" x14ac:dyDescent="0.3">
      <c r="A1" s="522" t="s">
        <v>84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3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3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3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3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3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3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3">
      <c r="A8" s="523" t="s">
        <v>85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3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3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3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3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3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3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thickBot="1" x14ac:dyDescent="0.35"/>
    <row r="16" spans="1:9" ht="19.5" customHeight="1" thickBot="1" x14ac:dyDescent="0.35">
      <c r="A16" s="495" t="s">
        <v>72</v>
      </c>
      <c r="B16" s="496"/>
      <c r="C16" s="496"/>
      <c r="D16" s="496"/>
      <c r="E16" s="496"/>
      <c r="F16" s="496"/>
      <c r="G16" s="496"/>
      <c r="H16" s="497"/>
    </row>
    <row r="17" spans="1:14" ht="20.25" customHeight="1" x14ac:dyDescent="0.3">
      <c r="A17" s="498" t="s">
        <v>0</v>
      </c>
      <c r="B17" s="498"/>
      <c r="C17" s="498"/>
      <c r="D17" s="498"/>
      <c r="E17" s="498"/>
      <c r="F17" s="498"/>
      <c r="G17" s="498"/>
      <c r="H17" s="498"/>
    </row>
    <row r="18" spans="1:14" ht="26.25" customHeight="1" x14ac:dyDescent="0.4">
      <c r="A18" s="231" t="s">
        <v>1</v>
      </c>
      <c r="B18" s="494" t="s">
        <v>74</v>
      </c>
      <c r="C18" s="494"/>
      <c r="D18" s="400"/>
      <c r="E18" s="232"/>
      <c r="F18" s="233"/>
      <c r="G18" s="233"/>
      <c r="H18" s="233"/>
    </row>
    <row r="19" spans="1:14" ht="26.25" customHeight="1" x14ac:dyDescent="0.4">
      <c r="A19" s="231" t="s">
        <v>2</v>
      </c>
      <c r="B19" s="414" t="s">
        <v>75</v>
      </c>
      <c r="C19" s="402">
        <v>21</v>
      </c>
      <c r="D19" s="233"/>
      <c r="E19" s="233"/>
      <c r="F19" s="233"/>
      <c r="G19" s="233"/>
      <c r="H19" s="233"/>
    </row>
    <row r="20" spans="1:14" ht="26.25" customHeight="1" x14ac:dyDescent="0.4">
      <c r="A20" s="231" t="s">
        <v>3</v>
      </c>
      <c r="B20" s="499" t="s">
        <v>76</v>
      </c>
      <c r="C20" s="499"/>
      <c r="D20" s="233"/>
      <c r="E20" s="233"/>
      <c r="F20" s="233"/>
      <c r="G20" s="233"/>
      <c r="H20" s="233"/>
    </row>
    <row r="21" spans="1:14" ht="26.25" customHeight="1" x14ac:dyDescent="0.4">
      <c r="A21" s="231" t="s">
        <v>4</v>
      </c>
      <c r="B21" s="499" t="s">
        <v>76</v>
      </c>
      <c r="C21" s="499"/>
      <c r="D21" s="499"/>
      <c r="E21" s="499"/>
      <c r="F21" s="499"/>
      <c r="G21" s="499"/>
      <c r="H21" s="499"/>
      <c r="I21" s="235"/>
    </row>
    <row r="22" spans="1:14" ht="26.25" customHeight="1" x14ac:dyDescent="0.4">
      <c r="A22" s="231" t="s">
        <v>5</v>
      </c>
      <c r="B22" s="236" t="s">
        <v>77</v>
      </c>
      <c r="C22" s="233"/>
      <c r="D22" s="233"/>
      <c r="E22" s="233"/>
      <c r="F22" s="233"/>
      <c r="G22" s="233"/>
      <c r="H22" s="233"/>
    </row>
    <row r="23" spans="1:14" ht="26.25" customHeight="1" x14ac:dyDescent="0.4">
      <c r="A23" s="231" t="s">
        <v>6</v>
      </c>
      <c r="B23" s="236"/>
      <c r="C23" s="233"/>
      <c r="D23" s="233"/>
      <c r="E23" s="233"/>
      <c r="F23" s="233"/>
      <c r="G23" s="233"/>
      <c r="H23" s="233"/>
    </row>
    <row r="24" spans="1:14" x14ac:dyDescent="0.3">
      <c r="A24" s="231"/>
      <c r="B24" s="237"/>
    </row>
    <row r="25" spans="1:14" x14ac:dyDescent="0.3">
      <c r="A25" s="238" t="s">
        <v>7</v>
      </c>
      <c r="B25" s="237"/>
    </row>
    <row r="26" spans="1:14" ht="26.25" customHeight="1" x14ac:dyDescent="0.4">
      <c r="A26" s="394" t="s">
        <v>8</v>
      </c>
      <c r="B26" s="494" t="s">
        <v>129</v>
      </c>
      <c r="C26" s="494"/>
    </row>
    <row r="27" spans="1:14" ht="26.25" customHeight="1" x14ac:dyDescent="0.4">
      <c r="A27" s="346" t="s">
        <v>9</v>
      </c>
      <c r="B27" s="500" t="s">
        <v>108</v>
      </c>
      <c r="C27" s="500"/>
    </row>
    <row r="28" spans="1:14" ht="27" customHeight="1" thickBot="1" x14ac:dyDescent="0.45">
      <c r="A28" s="346" t="s">
        <v>10</v>
      </c>
      <c r="B28" s="338">
        <v>99.3</v>
      </c>
    </row>
    <row r="29" spans="1:14" s="246" customFormat="1" ht="27" customHeight="1" thickBot="1" x14ac:dyDescent="0.45">
      <c r="A29" s="346" t="s">
        <v>11</v>
      </c>
      <c r="B29" s="242">
        <v>0</v>
      </c>
      <c r="C29" s="501" t="s">
        <v>12</v>
      </c>
      <c r="D29" s="502"/>
      <c r="E29" s="502"/>
      <c r="F29" s="502"/>
      <c r="G29" s="503"/>
      <c r="I29" s="243"/>
      <c r="J29" s="243"/>
      <c r="K29" s="243"/>
      <c r="L29" s="243"/>
    </row>
    <row r="30" spans="1:14" s="246" customFormat="1" ht="19.5" customHeight="1" thickBot="1" x14ac:dyDescent="0.35">
      <c r="A30" s="346" t="s">
        <v>13</v>
      </c>
      <c r="B30" s="417">
        <f>B28-B29</f>
        <v>99.3</v>
      </c>
      <c r="C30" s="245"/>
      <c r="D30" s="245"/>
      <c r="E30" s="245"/>
      <c r="F30" s="245"/>
      <c r="I30" s="243"/>
      <c r="J30" s="243"/>
      <c r="K30" s="243"/>
      <c r="L30" s="243"/>
    </row>
    <row r="31" spans="1:14" s="246" customFormat="1" ht="27" customHeight="1" thickBot="1" x14ac:dyDescent="0.45">
      <c r="A31" s="346" t="s">
        <v>14</v>
      </c>
      <c r="B31" s="247">
        <v>1</v>
      </c>
      <c r="C31" s="504" t="s">
        <v>86</v>
      </c>
      <c r="D31" s="505"/>
      <c r="E31" s="505"/>
      <c r="F31" s="505"/>
      <c r="G31" s="505"/>
      <c r="H31" s="506"/>
      <c r="I31" s="243"/>
      <c r="J31" s="243"/>
      <c r="K31" s="243"/>
      <c r="L31" s="243"/>
    </row>
    <row r="32" spans="1:14" s="246" customFormat="1" ht="27" customHeight="1" thickBot="1" x14ac:dyDescent="0.45">
      <c r="A32" s="346" t="s">
        <v>15</v>
      </c>
      <c r="B32" s="247">
        <v>1</v>
      </c>
      <c r="C32" s="504" t="s">
        <v>87</v>
      </c>
      <c r="D32" s="505"/>
      <c r="E32" s="505"/>
      <c r="F32" s="505"/>
      <c r="G32" s="505"/>
      <c r="H32" s="506"/>
      <c r="I32" s="243"/>
      <c r="J32" s="243"/>
      <c r="K32" s="243"/>
      <c r="L32" s="248"/>
      <c r="M32" s="248"/>
      <c r="N32" s="249"/>
    </row>
    <row r="33" spans="1:14" s="246" customFormat="1" ht="17.25" customHeight="1" x14ac:dyDescent="0.3">
      <c r="A33" s="346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246" customFormat="1" x14ac:dyDescent="0.3">
      <c r="A34" s="346" t="s">
        <v>16</v>
      </c>
      <c r="B34" s="252">
        <f>B31/B32</f>
        <v>1</v>
      </c>
      <c r="C34" s="335" t="s">
        <v>17</v>
      </c>
      <c r="D34" s="335"/>
      <c r="E34" s="335"/>
      <c r="F34" s="335"/>
      <c r="G34" s="335"/>
      <c r="I34" s="243"/>
      <c r="J34" s="243"/>
      <c r="K34" s="243"/>
      <c r="L34" s="248"/>
      <c r="M34" s="248"/>
      <c r="N34" s="249"/>
    </row>
    <row r="35" spans="1:14" s="246" customFormat="1" ht="19.5" customHeight="1" thickBot="1" x14ac:dyDescent="0.35">
      <c r="A35" s="346"/>
      <c r="B35" s="417"/>
      <c r="G35" s="335"/>
      <c r="I35" s="243"/>
      <c r="J35" s="243"/>
      <c r="K35" s="243"/>
      <c r="L35" s="248"/>
      <c r="M35" s="248"/>
      <c r="N35" s="249"/>
    </row>
    <row r="36" spans="1:14" s="246" customFormat="1" ht="27" customHeight="1" thickBot="1" x14ac:dyDescent="0.45">
      <c r="A36" s="253" t="s">
        <v>88</v>
      </c>
      <c r="B36" s="254">
        <v>50</v>
      </c>
      <c r="C36" s="335"/>
      <c r="D36" s="507" t="s">
        <v>18</v>
      </c>
      <c r="E36" s="508"/>
      <c r="F36" s="507" t="s">
        <v>19</v>
      </c>
      <c r="G36" s="509"/>
      <c r="J36" s="243"/>
      <c r="K36" s="243"/>
      <c r="L36" s="248"/>
      <c r="M36" s="248"/>
      <c r="N36" s="249"/>
    </row>
    <row r="37" spans="1:14" s="246" customFormat="1" ht="27" customHeight="1" thickBot="1" x14ac:dyDescent="0.45">
      <c r="A37" s="255" t="s">
        <v>20</v>
      </c>
      <c r="B37" s="256">
        <v>1</v>
      </c>
      <c r="C37" s="257" t="s">
        <v>45</v>
      </c>
      <c r="D37" s="258" t="s">
        <v>21</v>
      </c>
      <c r="E37" s="259" t="s">
        <v>22</v>
      </c>
      <c r="F37" s="258" t="s">
        <v>21</v>
      </c>
      <c r="G37" s="260" t="s">
        <v>22</v>
      </c>
      <c r="I37" s="261" t="s">
        <v>89</v>
      </c>
      <c r="J37" s="243"/>
      <c r="K37" s="243"/>
      <c r="L37" s="248"/>
      <c r="M37" s="248"/>
      <c r="N37" s="249"/>
    </row>
    <row r="38" spans="1:14" s="246" customFormat="1" ht="26.25" customHeight="1" x14ac:dyDescent="0.4">
      <c r="A38" s="255" t="s">
        <v>23</v>
      </c>
      <c r="B38" s="256">
        <v>25</v>
      </c>
      <c r="C38" s="262">
        <v>1</v>
      </c>
      <c r="D38" s="412">
        <v>242529</v>
      </c>
      <c r="E38" s="263">
        <f>IF(ISBLANK(D38),"-",$D$48/$D$45*D38)</f>
        <v>252939.79980826849</v>
      </c>
      <c r="F38" s="412">
        <v>271430</v>
      </c>
      <c r="G38" s="264">
        <f>IF(ISBLANK(F38),"-",$D$48/$F$45*F38)</f>
        <v>255365.66127315722</v>
      </c>
      <c r="I38" s="265"/>
      <c r="J38" s="243"/>
      <c r="K38" s="243"/>
      <c r="L38" s="248"/>
      <c r="M38" s="248"/>
      <c r="N38" s="249"/>
    </row>
    <row r="39" spans="1:14" s="246" customFormat="1" ht="26.25" customHeight="1" x14ac:dyDescent="0.4">
      <c r="A39" s="255" t="s">
        <v>24</v>
      </c>
      <c r="B39" s="256">
        <v>1</v>
      </c>
      <c r="C39" s="286">
        <v>2</v>
      </c>
      <c r="D39" s="413">
        <v>241542</v>
      </c>
      <c r="E39" s="268">
        <f>IF(ISBLANK(D39),"-",$D$48/$D$45*D39)</f>
        <v>251910.43184645462</v>
      </c>
      <c r="F39" s="413">
        <v>273092</v>
      </c>
      <c r="G39" s="269">
        <f>IF(ISBLANK(F39),"-",$D$48/$F$45*F39)</f>
        <v>256929.29730836331</v>
      </c>
      <c r="I39" s="511">
        <f>ABS((F43/D43*D42)-F42)/D42</f>
        <v>1.484968321559502E-2</v>
      </c>
      <c r="J39" s="243"/>
      <c r="K39" s="243"/>
      <c r="L39" s="248"/>
      <c r="M39" s="248"/>
      <c r="N39" s="249"/>
    </row>
    <row r="40" spans="1:14" ht="26.25" customHeight="1" x14ac:dyDescent="0.4">
      <c r="A40" s="255" t="s">
        <v>25</v>
      </c>
      <c r="B40" s="256">
        <v>1</v>
      </c>
      <c r="C40" s="286">
        <v>3</v>
      </c>
      <c r="D40" s="413">
        <v>251272</v>
      </c>
      <c r="E40" s="268">
        <f>IF(ISBLANK(D40),"-",$D$48/$D$45*D40)</f>
        <v>262058.10182461992</v>
      </c>
      <c r="F40" s="413">
        <v>281550</v>
      </c>
      <c r="G40" s="269">
        <f>IF(ISBLANK(F40),"-",$D$48/$F$45*F40)</f>
        <v>264886.71823843132</v>
      </c>
      <c r="I40" s="511"/>
      <c r="L40" s="248"/>
      <c r="M40" s="248"/>
      <c r="N40" s="335"/>
    </row>
    <row r="41" spans="1:14" ht="27" customHeight="1" thickBot="1" x14ac:dyDescent="0.45">
      <c r="A41" s="255" t="s">
        <v>26</v>
      </c>
      <c r="B41" s="256">
        <v>1</v>
      </c>
      <c r="C41" s="271">
        <v>4</v>
      </c>
      <c r="D41" s="272"/>
      <c r="E41" s="273"/>
      <c r="F41" s="272"/>
      <c r="G41" s="274"/>
      <c r="I41" s="275"/>
      <c r="L41" s="248"/>
      <c r="M41" s="248"/>
      <c r="N41" s="335"/>
    </row>
    <row r="42" spans="1:14" ht="27" customHeight="1" thickBot="1" x14ac:dyDescent="0.45">
      <c r="A42" s="255" t="s">
        <v>27</v>
      </c>
      <c r="B42" s="256">
        <v>1</v>
      </c>
      <c r="C42" s="276" t="s">
        <v>28</v>
      </c>
      <c r="D42" s="277">
        <f>AVERAGE(D38:D41)</f>
        <v>245114.33333333334</v>
      </c>
      <c r="E42" s="278">
        <f>AVERAGE(E38:E41)</f>
        <v>255636.11115978099</v>
      </c>
      <c r="F42" s="277">
        <f>AVERAGE(F38:F41)</f>
        <v>275357.33333333331</v>
      </c>
      <c r="G42" s="279">
        <f>AVERAGE(G38:G41)</f>
        <v>259060.55893998395</v>
      </c>
      <c r="H42" s="280"/>
    </row>
    <row r="43" spans="1:14" ht="26.25" customHeight="1" x14ac:dyDescent="0.4">
      <c r="A43" s="255" t="s">
        <v>29</v>
      </c>
      <c r="B43" s="256">
        <v>1</v>
      </c>
      <c r="C43" s="281" t="s">
        <v>90</v>
      </c>
      <c r="D43" s="282">
        <v>12.07</v>
      </c>
      <c r="F43" s="282">
        <v>13.38</v>
      </c>
      <c r="H43" s="280"/>
    </row>
    <row r="44" spans="1:14" ht="26.25" customHeight="1" x14ac:dyDescent="0.4">
      <c r="A44" s="255" t="s">
        <v>31</v>
      </c>
      <c r="B44" s="256">
        <v>1</v>
      </c>
      <c r="C44" s="283" t="s">
        <v>91</v>
      </c>
      <c r="D44" s="284">
        <f>D43*$B$34</f>
        <v>12.07</v>
      </c>
      <c r="E44" s="354"/>
      <c r="F44" s="284">
        <f>F43*$B$34</f>
        <v>13.38</v>
      </c>
      <c r="H44" s="280"/>
    </row>
    <row r="45" spans="1:14" ht="19.5" customHeight="1" thickBot="1" x14ac:dyDescent="0.35">
      <c r="A45" s="255" t="s">
        <v>33</v>
      </c>
      <c r="B45" s="286">
        <f>(B44/B43)*(B42/B41)*(B40/B39)*(B38/B37)*B36</f>
        <v>1250</v>
      </c>
      <c r="C45" s="283" t="s">
        <v>92</v>
      </c>
      <c r="D45" s="287">
        <f>D44*$B$30/100</f>
        <v>11.98551</v>
      </c>
      <c r="E45" s="331"/>
      <c r="F45" s="287">
        <f>F44*$B$30/100</f>
        <v>13.286340000000001</v>
      </c>
      <c r="H45" s="280"/>
    </row>
    <row r="46" spans="1:14" ht="19.5" customHeight="1" thickBot="1" x14ac:dyDescent="0.35">
      <c r="A46" s="512" t="s">
        <v>35</v>
      </c>
      <c r="B46" s="513"/>
      <c r="C46" s="283" t="s">
        <v>93</v>
      </c>
      <c r="D46" s="289">
        <f>D45/$B$45</f>
        <v>9.5884079999999997E-3</v>
      </c>
      <c r="E46" s="290"/>
      <c r="F46" s="291">
        <f>F45/$B$45</f>
        <v>1.0629072000000002E-2</v>
      </c>
      <c r="H46" s="280"/>
    </row>
    <row r="47" spans="1:14" ht="27" customHeight="1" thickBot="1" x14ac:dyDescent="0.45">
      <c r="A47" s="514"/>
      <c r="B47" s="515"/>
      <c r="C47" s="292" t="s">
        <v>94</v>
      </c>
      <c r="D47" s="293">
        <v>0.01</v>
      </c>
      <c r="E47" s="294"/>
      <c r="F47" s="290"/>
      <c r="H47" s="280"/>
    </row>
    <row r="48" spans="1:14" x14ac:dyDescent="0.3">
      <c r="C48" s="295" t="s">
        <v>37</v>
      </c>
      <c r="D48" s="287">
        <f>D47*$B$45</f>
        <v>12.5</v>
      </c>
      <c r="F48" s="296"/>
      <c r="H48" s="280"/>
    </row>
    <row r="49" spans="1:12" ht="19.5" customHeight="1" thickBot="1" x14ac:dyDescent="0.35">
      <c r="C49" s="297" t="s">
        <v>38</v>
      </c>
      <c r="D49" s="298">
        <f>D48/B34</f>
        <v>12.5</v>
      </c>
      <c r="F49" s="296"/>
      <c r="H49" s="280"/>
    </row>
    <row r="50" spans="1:12" x14ac:dyDescent="0.3">
      <c r="C50" s="253" t="s">
        <v>39</v>
      </c>
      <c r="D50" s="299">
        <f>AVERAGE(E38:E41,G38:G41)</f>
        <v>257348.33504988244</v>
      </c>
      <c r="F50" s="300"/>
      <c r="H50" s="280"/>
    </row>
    <row r="51" spans="1:12" x14ac:dyDescent="0.3">
      <c r="C51" s="255" t="s">
        <v>40</v>
      </c>
      <c r="D51" s="301">
        <f>STDEV(E38:E41,G38:G41)/D50</f>
        <v>1.9974719486286749E-2</v>
      </c>
      <c r="F51" s="300"/>
      <c r="H51" s="280"/>
    </row>
    <row r="52" spans="1:12" ht="19.5" customHeight="1" thickBot="1" x14ac:dyDescent="0.35">
      <c r="C52" s="302" t="s">
        <v>41</v>
      </c>
      <c r="D52" s="303">
        <f>COUNT(E38:E41,G38:G41)</f>
        <v>6</v>
      </c>
      <c r="F52" s="300"/>
    </row>
    <row r="54" spans="1:12" x14ac:dyDescent="0.3">
      <c r="A54" s="304" t="s">
        <v>7</v>
      </c>
      <c r="B54" s="305" t="s">
        <v>42</v>
      </c>
    </row>
    <row r="55" spans="1:12" x14ac:dyDescent="0.3">
      <c r="A55" s="335" t="s">
        <v>43</v>
      </c>
      <c r="B55" s="307" t="str">
        <f>B21</f>
        <v>Glimepiride 2mg, Metformin HCl 500mg</v>
      </c>
    </row>
    <row r="56" spans="1:12" ht="26.25" customHeight="1" x14ac:dyDescent="0.4">
      <c r="A56" s="307" t="s">
        <v>95</v>
      </c>
      <c r="B56" s="308">
        <v>2</v>
      </c>
      <c r="C56" s="335" t="str">
        <f>B20</f>
        <v>Glimepiride 2mg, Metformin HCl 500mg</v>
      </c>
      <c r="H56" s="354"/>
    </row>
    <row r="57" spans="1:12" x14ac:dyDescent="0.3">
      <c r="A57" s="307" t="s">
        <v>96</v>
      </c>
      <c r="B57" s="401">
        <f>Uniformity!C46</f>
        <v>612.47249999999997</v>
      </c>
      <c r="H57" s="354"/>
    </row>
    <row r="58" spans="1:12" ht="19.5" customHeight="1" thickBot="1" x14ac:dyDescent="0.35">
      <c r="H58" s="354"/>
    </row>
    <row r="59" spans="1:12" s="246" customFormat="1" ht="27" customHeight="1" thickBot="1" x14ac:dyDescent="0.45">
      <c r="A59" s="253" t="s">
        <v>97</v>
      </c>
      <c r="B59" s="254">
        <v>100</v>
      </c>
      <c r="C59" s="335"/>
      <c r="D59" s="310" t="s">
        <v>44</v>
      </c>
      <c r="E59" s="311" t="s">
        <v>45</v>
      </c>
      <c r="F59" s="311" t="s">
        <v>21</v>
      </c>
      <c r="G59" s="311" t="s">
        <v>46</v>
      </c>
      <c r="H59" s="257" t="s">
        <v>47</v>
      </c>
      <c r="L59" s="243"/>
    </row>
    <row r="60" spans="1:12" s="246" customFormat="1" ht="26.25" customHeight="1" x14ac:dyDescent="0.4">
      <c r="A60" s="255" t="s">
        <v>98</v>
      </c>
      <c r="B60" s="256">
        <v>10</v>
      </c>
      <c r="C60" s="516" t="s">
        <v>49</v>
      </c>
      <c r="D60" s="519">
        <v>604.16999999999996</v>
      </c>
      <c r="E60" s="312">
        <v>1</v>
      </c>
      <c r="F60" s="313">
        <v>262736</v>
      </c>
      <c r="G60" s="403">
        <f>IF(ISBLANK(F60),"-",(F60/$D$50*$D$47*$B$68)*($B$57/$D$60))</f>
        <v>2.0699299745615805</v>
      </c>
      <c r="H60" s="314">
        <f>IF(ISBLANK(F60),"-",G60/$B$56)</f>
        <v>1.0349649872807902</v>
      </c>
      <c r="L60" s="243"/>
    </row>
    <row r="61" spans="1:12" s="246" customFormat="1" ht="26.25" customHeight="1" x14ac:dyDescent="0.4">
      <c r="A61" s="255" t="s">
        <v>50</v>
      </c>
      <c r="B61" s="256">
        <v>20</v>
      </c>
      <c r="C61" s="517"/>
      <c r="D61" s="520"/>
      <c r="E61" s="315">
        <v>2</v>
      </c>
      <c r="F61" s="413">
        <v>265012</v>
      </c>
      <c r="G61" s="404">
        <f>IF(ISBLANK(F61),"-",(F61/$D$50*$D$47*$B$68)*($B$57/$D$60))</f>
        <v>2.0878611321574261</v>
      </c>
      <c r="H61" s="316">
        <f t="shared" ref="H61:H69" si="0">IF(ISBLANK(F61),"-",G61/$B$56)</f>
        <v>1.043930566078713</v>
      </c>
      <c r="L61" s="243"/>
    </row>
    <row r="62" spans="1:12" s="246" customFormat="1" ht="26.25" customHeight="1" x14ac:dyDescent="0.4">
      <c r="A62" s="255" t="s">
        <v>51</v>
      </c>
      <c r="B62" s="256">
        <v>1</v>
      </c>
      <c r="C62" s="517"/>
      <c r="D62" s="520"/>
      <c r="E62" s="315">
        <v>3</v>
      </c>
      <c r="F62" s="317">
        <v>265665</v>
      </c>
      <c r="G62" s="404">
        <f>IF(ISBLANK(F62),"-",(F62/$D$50*$D$47*$B$68)*($B$57/$D$60))</f>
        <v>2.0930057041741605</v>
      </c>
      <c r="H62" s="316">
        <f t="shared" si="0"/>
        <v>1.0465028520870803</v>
      </c>
      <c r="L62" s="243"/>
    </row>
    <row r="63" spans="1:12" ht="27" customHeight="1" thickBot="1" x14ac:dyDescent="0.45">
      <c r="A63" s="255" t="s">
        <v>52</v>
      </c>
      <c r="B63" s="256">
        <v>1</v>
      </c>
      <c r="C63" s="518"/>
      <c r="D63" s="521"/>
      <c r="E63" s="318">
        <v>4</v>
      </c>
      <c r="F63" s="319"/>
      <c r="G63" s="404"/>
      <c r="H63" s="316"/>
    </row>
    <row r="64" spans="1:12" ht="26.25" customHeight="1" x14ac:dyDescent="0.4">
      <c r="A64" s="255" t="s">
        <v>53</v>
      </c>
      <c r="B64" s="256">
        <v>1</v>
      </c>
      <c r="C64" s="516" t="s">
        <v>54</v>
      </c>
      <c r="D64" s="519">
        <v>608.82000000000005</v>
      </c>
      <c r="E64" s="312">
        <v>1</v>
      </c>
      <c r="F64" s="313">
        <v>273729</v>
      </c>
      <c r="G64" s="405">
        <f>IF(ISBLANK(F64),"-",(F64/$D$50*$D$47*$B$68)*($B$57/$D$64))</f>
        <v>2.1400657992381436</v>
      </c>
      <c r="H64" s="320">
        <f>IF(ISBLANK(F64),"-",G64/$B$56)</f>
        <v>1.0700328996190718</v>
      </c>
    </row>
    <row r="65" spans="1:8" ht="26.25" customHeight="1" x14ac:dyDescent="0.4">
      <c r="A65" s="255" t="s">
        <v>55</v>
      </c>
      <c r="B65" s="256">
        <v>1</v>
      </c>
      <c r="C65" s="517"/>
      <c r="D65" s="520"/>
      <c r="E65" s="315">
        <v>2</v>
      </c>
      <c r="F65" s="413">
        <v>274882</v>
      </c>
      <c r="G65" s="406">
        <f>IF(ISBLANK(F65),"-",(F65/$D$50*$D$47*$B$68)*($B$57/$D$64))</f>
        <v>2.1490801742825179</v>
      </c>
      <c r="H65" s="321">
        <f t="shared" si="0"/>
        <v>1.0745400871412589</v>
      </c>
    </row>
    <row r="66" spans="1:8" ht="26.25" customHeight="1" x14ac:dyDescent="0.4">
      <c r="A66" s="255" t="s">
        <v>56</v>
      </c>
      <c r="B66" s="256">
        <v>1</v>
      </c>
      <c r="C66" s="517"/>
      <c r="D66" s="520"/>
      <c r="E66" s="315">
        <v>3</v>
      </c>
      <c r="F66" s="413">
        <v>276873</v>
      </c>
      <c r="G66" s="406">
        <f>IF(ISBLANK(F66),"-",(F66/$D$50*$D$47*$B$68)*($B$57/$D$64))</f>
        <v>2.1646461939818673</v>
      </c>
      <c r="H66" s="321">
        <f t="shared" si="0"/>
        <v>1.0823230969909337</v>
      </c>
    </row>
    <row r="67" spans="1:8" ht="27" customHeight="1" thickBot="1" x14ac:dyDescent="0.45">
      <c r="A67" s="255" t="s">
        <v>57</v>
      </c>
      <c r="B67" s="256">
        <v>1</v>
      </c>
      <c r="C67" s="518"/>
      <c r="D67" s="521"/>
      <c r="E67" s="318">
        <v>4</v>
      </c>
      <c r="F67" s="319"/>
      <c r="G67" s="407"/>
      <c r="H67" s="322"/>
    </row>
    <row r="68" spans="1:8" ht="26.25" customHeight="1" x14ac:dyDescent="0.4">
      <c r="A68" s="255" t="s">
        <v>58</v>
      </c>
      <c r="B68" s="323">
        <f>(B67/B66)*(B65/B64)*(B63/B62)*(B61/B60)*B59</f>
        <v>200</v>
      </c>
      <c r="C68" s="516" t="s">
        <v>59</v>
      </c>
      <c r="D68" s="519">
        <v>617.83000000000004</v>
      </c>
      <c r="E68" s="312">
        <v>1</v>
      </c>
      <c r="F68" s="313">
        <v>276271</v>
      </c>
      <c r="G68" s="405">
        <f>IF(ISBLANK(F68),"-",(F68/$D$50*$D$47*$B$68)*($B$57/$D$68))</f>
        <v>2.1284405956170551</v>
      </c>
      <c r="H68" s="316">
        <f>IF(ISBLANK(F68),"-",G68/$B$56)</f>
        <v>1.0642202978085276</v>
      </c>
    </row>
    <row r="69" spans="1:8" ht="27" customHeight="1" thickBot="1" x14ac:dyDescent="0.45">
      <c r="A69" s="302" t="s">
        <v>60</v>
      </c>
      <c r="B69" s="324">
        <f>(D47*B68)/B56*B57</f>
        <v>612.47249999999997</v>
      </c>
      <c r="C69" s="517"/>
      <c r="D69" s="520"/>
      <c r="E69" s="315">
        <v>2</v>
      </c>
      <c r="F69" s="413">
        <v>278586</v>
      </c>
      <c r="G69" s="406">
        <f>IF(ISBLANK(F69),"-",(F69/$D$50*$D$47*$B$68)*($B$57/$D$68))</f>
        <v>2.146275764631731</v>
      </c>
      <c r="H69" s="316">
        <f t="shared" si="0"/>
        <v>1.0731378823158655</v>
      </c>
    </row>
    <row r="70" spans="1:8" ht="26.25" customHeight="1" x14ac:dyDescent="0.4">
      <c r="A70" s="529" t="s">
        <v>35</v>
      </c>
      <c r="B70" s="530"/>
      <c r="C70" s="517"/>
      <c r="D70" s="520"/>
      <c r="E70" s="315">
        <v>3</v>
      </c>
      <c r="F70" s="413"/>
      <c r="G70" s="406"/>
      <c r="H70" s="316"/>
    </row>
    <row r="71" spans="1:8" ht="27" customHeight="1" thickBot="1" x14ac:dyDescent="0.45">
      <c r="A71" s="531"/>
      <c r="B71" s="532"/>
      <c r="C71" s="528"/>
      <c r="D71" s="521"/>
      <c r="E71" s="318">
        <v>4</v>
      </c>
      <c r="F71" s="319"/>
      <c r="G71" s="407"/>
      <c r="H71" s="325"/>
    </row>
    <row r="72" spans="1:8" ht="26.25" customHeight="1" x14ac:dyDescent="0.4">
      <c r="A72" s="354"/>
      <c r="B72" s="354"/>
      <c r="C72" s="354"/>
      <c r="D72" s="354"/>
      <c r="E72" s="354"/>
      <c r="F72" s="354"/>
      <c r="G72" s="328" t="s">
        <v>28</v>
      </c>
      <c r="H72" s="329">
        <f>AVERAGE(H60:H71)</f>
        <v>1.06120658366528</v>
      </c>
    </row>
    <row r="73" spans="1:8" ht="26.25" customHeight="1" x14ac:dyDescent="0.4">
      <c r="C73" s="354"/>
      <c r="D73" s="354"/>
      <c r="E73" s="354"/>
      <c r="F73" s="354"/>
      <c r="G73" s="330" t="s">
        <v>40</v>
      </c>
      <c r="H73" s="408">
        <f>STDEV(H60:H71)/H72</f>
        <v>1.6150862248700992E-2</v>
      </c>
    </row>
    <row r="74" spans="1:8" ht="27" customHeight="1" thickBot="1" x14ac:dyDescent="0.45">
      <c r="A74" s="354"/>
      <c r="B74" s="354"/>
      <c r="C74" s="354"/>
      <c r="D74" s="354"/>
      <c r="E74" s="331"/>
      <c r="F74" s="354"/>
      <c r="G74" s="332" t="s">
        <v>41</v>
      </c>
      <c r="H74" s="333">
        <f>COUNT(H60:H71)</f>
        <v>8</v>
      </c>
    </row>
    <row r="76" spans="1:8" ht="26.25" customHeight="1" x14ac:dyDescent="0.4">
      <c r="A76" s="394" t="s">
        <v>99</v>
      </c>
      <c r="B76" s="346" t="s">
        <v>100</v>
      </c>
      <c r="C76" s="524" t="str">
        <f>B20</f>
        <v>Glimepiride 2mg, Metformin HCl 500mg</v>
      </c>
      <c r="D76" s="524"/>
      <c r="E76" s="335" t="s">
        <v>101</v>
      </c>
      <c r="G76" s="336">
        <f>H72</f>
        <v>1.06120658366528</v>
      </c>
      <c r="H76" s="417"/>
    </row>
    <row r="77" spans="1:8" x14ac:dyDescent="0.3">
      <c r="A77" s="238" t="s">
        <v>102</v>
      </c>
      <c r="B77" s="238" t="s">
        <v>132</v>
      </c>
    </row>
    <row r="78" spans="1:8" x14ac:dyDescent="0.3">
      <c r="A78" s="238"/>
      <c r="B78" s="238"/>
    </row>
    <row r="79" spans="1:8" ht="26.25" customHeight="1" x14ac:dyDescent="0.4">
      <c r="A79" s="394" t="s">
        <v>8</v>
      </c>
      <c r="B79" s="510" t="str">
        <f>B26</f>
        <v>Glimepiride</v>
      </c>
      <c r="C79" s="510"/>
    </row>
    <row r="80" spans="1:8" ht="26.25" customHeight="1" x14ac:dyDescent="0.4">
      <c r="A80" s="346" t="s">
        <v>9</v>
      </c>
      <c r="B80" s="510" t="str">
        <f>B27</f>
        <v>G</v>
      </c>
      <c r="C80" s="510"/>
    </row>
    <row r="81" spans="1:12" ht="27" customHeight="1" thickBot="1" x14ac:dyDescent="0.45">
      <c r="A81" s="346" t="s">
        <v>10</v>
      </c>
      <c r="B81" s="338">
        <f>B28</f>
        <v>99.3</v>
      </c>
    </row>
    <row r="82" spans="1:12" s="246" customFormat="1" ht="27" customHeight="1" thickBot="1" x14ac:dyDescent="0.45">
      <c r="A82" s="346" t="s">
        <v>11</v>
      </c>
      <c r="B82" s="242">
        <v>0</v>
      </c>
      <c r="C82" s="501" t="s">
        <v>12</v>
      </c>
      <c r="D82" s="502"/>
      <c r="E82" s="502"/>
      <c r="F82" s="502"/>
      <c r="G82" s="503"/>
      <c r="I82" s="243"/>
      <c r="J82" s="243"/>
      <c r="K82" s="243"/>
      <c r="L82" s="243"/>
    </row>
    <row r="83" spans="1:12" s="246" customFormat="1" ht="19.5" customHeight="1" thickBot="1" x14ac:dyDescent="0.35">
      <c r="A83" s="346" t="s">
        <v>13</v>
      </c>
      <c r="B83" s="417">
        <f>B81-B82</f>
        <v>99.3</v>
      </c>
      <c r="C83" s="245"/>
      <c r="D83" s="245"/>
      <c r="E83" s="245"/>
      <c r="F83" s="245"/>
      <c r="I83" s="243"/>
      <c r="J83" s="243"/>
      <c r="K83" s="243"/>
      <c r="L83" s="243"/>
    </row>
    <row r="84" spans="1:12" s="246" customFormat="1" ht="27" customHeight="1" thickBot="1" x14ac:dyDescent="0.45">
      <c r="A84" s="346" t="s">
        <v>14</v>
      </c>
      <c r="B84" s="247">
        <v>1</v>
      </c>
      <c r="C84" s="504" t="s">
        <v>103</v>
      </c>
      <c r="D84" s="505"/>
      <c r="E84" s="505"/>
      <c r="F84" s="505"/>
      <c r="G84" s="505"/>
      <c r="H84" s="506"/>
      <c r="I84" s="243"/>
      <c r="J84" s="243"/>
      <c r="K84" s="243"/>
      <c r="L84" s="243"/>
    </row>
    <row r="85" spans="1:12" s="246" customFormat="1" ht="27" customHeight="1" thickBot="1" x14ac:dyDescent="0.45">
      <c r="A85" s="346" t="s">
        <v>15</v>
      </c>
      <c r="B85" s="247">
        <v>1</v>
      </c>
      <c r="C85" s="504" t="s">
        <v>104</v>
      </c>
      <c r="D85" s="505"/>
      <c r="E85" s="505"/>
      <c r="F85" s="505"/>
      <c r="G85" s="505"/>
      <c r="H85" s="506"/>
      <c r="I85" s="243"/>
      <c r="J85" s="243"/>
      <c r="K85" s="243"/>
      <c r="L85" s="243"/>
    </row>
    <row r="86" spans="1:12" s="246" customFormat="1" x14ac:dyDescent="0.3">
      <c r="A86" s="346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246" customFormat="1" x14ac:dyDescent="0.3">
      <c r="A87" s="346" t="s">
        <v>16</v>
      </c>
      <c r="B87" s="252">
        <f>B84/B85</f>
        <v>1</v>
      </c>
      <c r="C87" s="335" t="s">
        <v>17</v>
      </c>
      <c r="D87" s="335"/>
      <c r="E87" s="335"/>
      <c r="F87" s="335"/>
      <c r="G87" s="335"/>
      <c r="I87" s="243"/>
      <c r="J87" s="243"/>
      <c r="K87" s="243"/>
      <c r="L87" s="243"/>
    </row>
    <row r="88" spans="1:12" ht="19.5" customHeight="1" thickBot="1" x14ac:dyDescent="0.35">
      <c r="A88" s="238"/>
      <c r="B88" s="238"/>
    </row>
    <row r="89" spans="1:12" ht="27" customHeight="1" thickBot="1" x14ac:dyDescent="0.45">
      <c r="A89" s="253" t="s">
        <v>88</v>
      </c>
      <c r="B89" s="254">
        <v>50</v>
      </c>
      <c r="D89" s="415" t="s">
        <v>18</v>
      </c>
      <c r="E89" s="416"/>
      <c r="F89" s="507" t="s">
        <v>19</v>
      </c>
      <c r="G89" s="509"/>
    </row>
    <row r="90" spans="1:12" ht="27" customHeight="1" thickBot="1" x14ac:dyDescent="0.45">
      <c r="A90" s="255" t="s">
        <v>20</v>
      </c>
      <c r="B90" s="256">
        <v>3</v>
      </c>
      <c r="C90" s="418" t="s">
        <v>45</v>
      </c>
      <c r="D90" s="258" t="s">
        <v>21</v>
      </c>
      <c r="E90" s="259" t="s">
        <v>22</v>
      </c>
      <c r="F90" s="258" t="s">
        <v>21</v>
      </c>
      <c r="G90" s="342" t="s">
        <v>22</v>
      </c>
      <c r="I90" s="261" t="s">
        <v>89</v>
      </c>
    </row>
    <row r="91" spans="1:12" ht="26.25" customHeight="1" x14ac:dyDescent="0.4">
      <c r="A91" s="255" t="s">
        <v>23</v>
      </c>
      <c r="B91" s="256">
        <v>20</v>
      </c>
      <c r="C91" s="343">
        <v>1</v>
      </c>
      <c r="D91" s="472">
        <v>88736</v>
      </c>
      <c r="E91" s="263">
        <f>IF(ISBLANK(D91),"-",$D$101/$D$98*D91)</f>
        <v>101059.12435963252</v>
      </c>
      <c r="F91" s="472">
        <v>108923</v>
      </c>
      <c r="G91" s="264">
        <f>IF(ISBLANK(F91),"-",$D$101/$F$98*F91)</f>
        <v>104467.46271519686</v>
      </c>
      <c r="I91" s="265"/>
    </row>
    <row r="92" spans="1:12" ht="26.25" customHeight="1" x14ac:dyDescent="0.4">
      <c r="A92" s="255" t="s">
        <v>24</v>
      </c>
      <c r="B92" s="256">
        <v>2</v>
      </c>
      <c r="C92" s="354">
        <v>2</v>
      </c>
      <c r="D92" s="473">
        <v>89644</v>
      </c>
      <c r="E92" s="268">
        <f>IF(ISBLANK(D92),"-",$D$101/$D$98*D92)</f>
        <v>102093.22196284369</v>
      </c>
      <c r="F92" s="473">
        <v>109124</v>
      </c>
      <c r="G92" s="269">
        <f>IF(ISBLANK(F92),"-",$D$101/$F$98*F92)</f>
        <v>104660.24073274829</v>
      </c>
      <c r="I92" s="511">
        <f>ABS((F96/D96*D95)-F95)/D95</f>
        <v>3.5428279921907113E-2</v>
      </c>
    </row>
    <row r="93" spans="1:12" ht="26.25" customHeight="1" x14ac:dyDescent="0.4">
      <c r="A93" s="255" t="s">
        <v>25</v>
      </c>
      <c r="B93" s="256">
        <v>20</v>
      </c>
      <c r="C93" s="354">
        <v>3</v>
      </c>
      <c r="D93" s="473">
        <v>95890</v>
      </c>
      <c r="E93" s="268">
        <f>IF(ISBLANK(D93),"-",$D$101/$D$98*D93)</f>
        <v>109206.62904396369</v>
      </c>
      <c r="F93" s="473">
        <v>117351</v>
      </c>
      <c r="G93" s="269">
        <f>IF(ISBLANK(F93),"-",$D$101/$F$98*F93)</f>
        <v>112550.71212775141</v>
      </c>
      <c r="I93" s="511"/>
    </row>
    <row r="94" spans="1:12" ht="27" customHeight="1" thickBot="1" x14ac:dyDescent="0.45">
      <c r="A94" s="255" t="s">
        <v>26</v>
      </c>
      <c r="B94" s="256">
        <v>1</v>
      </c>
      <c r="C94" s="344">
        <v>4</v>
      </c>
      <c r="D94" s="474"/>
      <c r="E94" s="273"/>
      <c r="F94" s="475"/>
      <c r="G94" s="274"/>
      <c r="I94" s="275"/>
    </row>
    <row r="95" spans="1:12" ht="27" customHeight="1" thickBot="1" x14ac:dyDescent="0.45">
      <c r="A95" s="255" t="s">
        <v>27</v>
      </c>
      <c r="B95" s="256">
        <v>1</v>
      </c>
      <c r="C95" s="346" t="s">
        <v>28</v>
      </c>
      <c r="D95" s="347">
        <f>AVERAGE(D91:D94)</f>
        <v>91423.333333333328</v>
      </c>
      <c r="E95" s="278">
        <f>AVERAGE(E91:E94)</f>
        <v>104119.65845547996</v>
      </c>
      <c r="F95" s="476">
        <f>AVERAGE(F91:F94)</f>
        <v>111799.33333333333</v>
      </c>
      <c r="G95" s="349">
        <f>AVERAGE(G91:G94)</f>
        <v>107226.13852523219</v>
      </c>
    </row>
    <row r="96" spans="1:12" ht="26.25" customHeight="1" x14ac:dyDescent="0.4">
      <c r="A96" s="255" t="s">
        <v>29</v>
      </c>
      <c r="B96" s="338">
        <v>1</v>
      </c>
      <c r="C96" s="350" t="s">
        <v>30</v>
      </c>
      <c r="D96" s="477">
        <v>11.79</v>
      </c>
      <c r="F96" s="478">
        <v>14</v>
      </c>
    </row>
    <row r="97" spans="1:10" ht="26.25" customHeight="1" x14ac:dyDescent="0.4">
      <c r="A97" s="255" t="s">
        <v>31</v>
      </c>
      <c r="B97" s="338">
        <v>1</v>
      </c>
      <c r="C97" s="352" t="s">
        <v>32</v>
      </c>
      <c r="D97" s="353">
        <f>D96*$B$87</f>
        <v>11.79</v>
      </c>
      <c r="E97" s="354"/>
      <c r="F97" s="284">
        <f>F96*$B$87</f>
        <v>14</v>
      </c>
    </row>
    <row r="98" spans="1:10" ht="19.5" customHeight="1" thickBot="1" x14ac:dyDescent="0.35">
      <c r="A98" s="255" t="s">
        <v>33</v>
      </c>
      <c r="B98" s="354">
        <f>(B97/B96)*(B95/B94)*(B93/B92)*(B91/B90)*B89</f>
        <v>3333.3333333333335</v>
      </c>
      <c r="C98" s="352" t="s">
        <v>34</v>
      </c>
      <c r="D98" s="355">
        <f>D97*$B$83/100</f>
        <v>11.707469999999999</v>
      </c>
      <c r="E98" s="331"/>
      <c r="F98" s="287">
        <f>F97*$B$83/100</f>
        <v>13.902000000000001</v>
      </c>
    </row>
    <row r="99" spans="1:10" ht="19.5" customHeight="1" thickBot="1" x14ac:dyDescent="0.35">
      <c r="A99" s="512" t="s">
        <v>35</v>
      </c>
      <c r="B99" s="526"/>
      <c r="C99" s="352" t="s">
        <v>36</v>
      </c>
      <c r="D99" s="356">
        <f>D98/$B$98</f>
        <v>3.5122409999999997E-3</v>
      </c>
      <c r="E99" s="331"/>
      <c r="F99" s="291">
        <f>F98/$B$98</f>
        <v>4.1706E-3</v>
      </c>
      <c r="G99" s="357"/>
      <c r="H99" s="280"/>
    </row>
    <row r="100" spans="1:10" ht="19.5" customHeight="1" thickBot="1" x14ac:dyDescent="0.35">
      <c r="A100" s="514"/>
      <c r="B100" s="527"/>
      <c r="C100" s="352" t="s">
        <v>94</v>
      </c>
      <c r="D100" s="358">
        <f>2/500</f>
        <v>4.0000000000000001E-3</v>
      </c>
      <c r="F100" s="296"/>
      <c r="G100" s="365"/>
      <c r="H100" s="280"/>
    </row>
    <row r="101" spans="1:10" x14ac:dyDescent="0.3">
      <c r="C101" s="352" t="s">
        <v>37</v>
      </c>
      <c r="D101" s="353">
        <f>D100*$B$98</f>
        <v>13.333333333333334</v>
      </c>
      <c r="F101" s="296"/>
      <c r="G101" s="357"/>
      <c r="H101" s="280"/>
    </row>
    <row r="102" spans="1:10" ht="19.5" customHeight="1" thickBot="1" x14ac:dyDescent="0.35">
      <c r="C102" s="360" t="s">
        <v>38</v>
      </c>
      <c r="D102" s="361">
        <f>D101/B34</f>
        <v>13.333333333333334</v>
      </c>
      <c r="F102" s="300"/>
      <c r="G102" s="357"/>
      <c r="H102" s="280"/>
      <c r="J102" s="362"/>
    </row>
    <row r="103" spans="1:10" x14ac:dyDescent="0.3">
      <c r="C103" s="363" t="s">
        <v>62</v>
      </c>
      <c r="D103" s="364">
        <f>AVERAGE(E91:E94,G91:G94)</f>
        <v>105672.89849035609</v>
      </c>
      <c r="F103" s="300"/>
      <c r="G103" s="365"/>
      <c r="H103" s="280"/>
      <c r="J103" s="366"/>
    </row>
    <row r="104" spans="1:10" x14ac:dyDescent="0.3">
      <c r="C104" s="330" t="s">
        <v>40</v>
      </c>
      <c r="D104" s="367">
        <f>STDEV(E91:E94,G91:G94)/D103</f>
        <v>4.1545580238793622E-2</v>
      </c>
      <c r="F104" s="300"/>
      <c r="G104" s="357" t="s">
        <v>109</v>
      </c>
      <c r="H104" s="280"/>
      <c r="J104" s="366"/>
    </row>
    <row r="105" spans="1:10" ht="19.5" customHeight="1" thickBot="1" x14ac:dyDescent="0.35">
      <c r="C105" s="332" t="s">
        <v>41</v>
      </c>
      <c r="D105" s="368">
        <f>COUNT(E91:E94,G91:G94)</f>
        <v>6</v>
      </c>
      <c r="F105" s="300"/>
      <c r="G105" s="357"/>
      <c r="H105" s="280"/>
      <c r="J105" s="366"/>
    </row>
    <row r="106" spans="1:10" ht="19.5" customHeight="1" thickBot="1" x14ac:dyDescent="0.35">
      <c r="A106" s="304"/>
      <c r="B106" s="304"/>
      <c r="C106" s="304"/>
      <c r="D106" s="304"/>
      <c r="E106" s="304"/>
    </row>
    <row r="107" spans="1:10" ht="26.25" customHeight="1" x14ac:dyDescent="0.4">
      <c r="A107" s="253" t="s">
        <v>63</v>
      </c>
      <c r="B107" s="254">
        <v>500</v>
      </c>
      <c r="C107" s="415" t="s">
        <v>64</v>
      </c>
      <c r="D107" s="370" t="s">
        <v>21</v>
      </c>
      <c r="E107" s="371" t="s">
        <v>65</v>
      </c>
      <c r="F107" s="372" t="s">
        <v>66</v>
      </c>
    </row>
    <row r="108" spans="1:10" ht="26.25" customHeight="1" x14ac:dyDescent="0.4">
      <c r="A108" s="255" t="s">
        <v>48</v>
      </c>
      <c r="B108" s="256">
        <v>1</v>
      </c>
      <c r="C108" s="373">
        <v>1</v>
      </c>
      <c r="D108" s="479">
        <v>107649</v>
      </c>
      <c r="E108" s="409">
        <f t="shared" ref="E108:E113" si="1">IF(ISBLANK(D108),"-",D108/$D$103*$D$100*$B$116)</f>
        <v>2.0374003465008439</v>
      </c>
      <c r="F108" s="375">
        <f t="shared" ref="F108:F113" si="2">IF(ISBLANK(D108), "-", E108/$B$56)</f>
        <v>1.0187001732504219</v>
      </c>
    </row>
    <row r="109" spans="1:10" ht="26.25" customHeight="1" x14ac:dyDescent="0.4">
      <c r="A109" s="255" t="s">
        <v>50</v>
      </c>
      <c r="B109" s="256">
        <v>1</v>
      </c>
      <c r="C109" s="373">
        <v>2</v>
      </c>
      <c r="D109" s="479">
        <v>104833</v>
      </c>
      <c r="E109" s="410">
        <f t="shared" si="1"/>
        <v>1.9841038051883708</v>
      </c>
      <c r="F109" s="376">
        <f t="shared" si="2"/>
        <v>0.99205190259418541</v>
      </c>
    </row>
    <row r="110" spans="1:10" ht="26.25" customHeight="1" x14ac:dyDescent="0.4">
      <c r="A110" s="255" t="s">
        <v>51</v>
      </c>
      <c r="B110" s="256">
        <v>1</v>
      </c>
      <c r="C110" s="373">
        <v>3</v>
      </c>
      <c r="D110" s="479">
        <v>106448</v>
      </c>
      <c r="E110" s="410">
        <f t="shared" si="1"/>
        <v>2.0146698258629603</v>
      </c>
      <c r="F110" s="376">
        <f t="shared" si="2"/>
        <v>1.0073349129314801</v>
      </c>
    </row>
    <row r="111" spans="1:10" ht="26.25" customHeight="1" x14ac:dyDescent="0.4">
      <c r="A111" s="255" t="s">
        <v>52</v>
      </c>
      <c r="B111" s="256">
        <v>1</v>
      </c>
      <c r="C111" s="373">
        <v>4</v>
      </c>
      <c r="D111" s="479">
        <v>102439</v>
      </c>
      <c r="E111" s="410">
        <f t="shared" si="1"/>
        <v>1.9387941745413331</v>
      </c>
      <c r="F111" s="376">
        <f t="shared" si="2"/>
        <v>0.96939708727066654</v>
      </c>
    </row>
    <row r="112" spans="1:10" ht="26.25" customHeight="1" x14ac:dyDescent="0.4">
      <c r="A112" s="255" t="s">
        <v>53</v>
      </c>
      <c r="B112" s="256">
        <v>1</v>
      </c>
      <c r="C112" s="373">
        <v>5</v>
      </c>
      <c r="D112" s="479">
        <v>105243</v>
      </c>
      <c r="E112" s="410">
        <f t="shared" si="1"/>
        <v>1.9918635999107126</v>
      </c>
      <c r="F112" s="376">
        <f t="shared" si="2"/>
        <v>0.9959317999553563</v>
      </c>
    </row>
    <row r="113" spans="1:10" ht="26.25" customHeight="1" x14ac:dyDescent="0.4">
      <c r="A113" s="255" t="s">
        <v>55</v>
      </c>
      <c r="B113" s="256">
        <v>1</v>
      </c>
      <c r="C113" s="377">
        <v>6</v>
      </c>
      <c r="D113" s="480">
        <v>98030</v>
      </c>
      <c r="E113" s="411">
        <f t="shared" si="1"/>
        <v>1.8553479917832745</v>
      </c>
      <c r="F113" s="379">
        <f t="shared" si="2"/>
        <v>0.92767399589163724</v>
      </c>
    </row>
    <row r="114" spans="1:10" ht="26.25" customHeight="1" x14ac:dyDescent="0.4">
      <c r="A114" s="255" t="s">
        <v>56</v>
      </c>
      <c r="B114" s="256">
        <v>1</v>
      </c>
      <c r="C114" s="373"/>
      <c r="D114" s="354"/>
      <c r="F114" s="380"/>
      <c r="G114" s="479" t="s">
        <v>131</v>
      </c>
    </row>
    <row r="115" spans="1:10" ht="26.25" customHeight="1" x14ac:dyDescent="0.4">
      <c r="A115" s="255" t="s">
        <v>57</v>
      </c>
      <c r="B115" s="256">
        <v>1</v>
      </c>
      <c r="C115" s="373"/>
      <c r="D115" s="381"/>
      <c r="E115" s="382" t="s">
        <v>28</v>
      </c>
      <c r="F115" s="383">
        <f>AVERAGE(F108:F113)</f>
        <v>0.98518164531562447</v>
      </c>
      <c r="G115" s="481">
        <f>AVERAGE(Glimepriride!F108:F113,F108:F113)</f>
        <v>0.98210400876344173</v>
      </c>
    </row>
    <row r="116" spans="1:10" ht="27" customHeight="1" thickBot="1" x14ac:dyDescent="0.45">
      <c r="A116" s="255" t="s">
        <v>58</v>
      </c>
      <c r="B116" s="286">
        <f>(B115/B114)*(B113/B112)*(B111/B110)*(B109/B108)*B107</f>
        <v>500</v>
      </c>
      <c r="C116" s="384"/>
      <c r="D116" s="385"/>
      <c r="E116" s="346" t="s">
        <v>40</v>
      </c>
      <c r="F116" s="386">
        <f>STDEV(F108:F113)/F115</f>
        <v>3.3151027068369712E-2</v>
      </c>
      <c r="G116" s="482">
        <f>STDEV([1]Glimepriride!F108:F113,F108:F113)/G115</f>
        <v>5.3069430249166556E-2</v>
      </c>
    </row>
    <row r="117" spans="1:10" ht="27" customHeight="1" thickBot="1" x14ac:dyDescent="0.45">
      <c r="A117" s="512" t="s">
        <v>35</v>
      </c>
      <c r="B117" s="513"/>
      <c r="C117" s="387"/>
      <c r="D117" s="388"/>
      <c r="E117" s="389" t="s">
        <v>41</v>
      </c>
      <c r="F117" s="390">
        <f>COUNT(F108:F113)</f>
        <v>6</v>
      </c>
      <c r="G117" s="483">
        <f>COUNT([1]Glimepriride!F108:F113,F108:F113)</f>
        <v>12</v>
      </c>
      <c r="J117" s="366"/>
    </row>
    <row r="118" spans="1:10" ht="19.5" customHeight="1" thickBot="1" x14ac:dyDescent="0.35">
      <c r="A118" s="514"/>
      <c r="B118" s="515"/>
      <c r="F118" s="354"/>
    </row>
    <row r="119" spans="1:10" x14ac:dyDescent="0.3">
      <c r="A119" s="399"/>
      <c r="B119" s="251"/>
      <c r="F119" s="354"/>
    </row>
    <row r="120" spans="1:10" ht="26.25" customHeight="1" x14ac:dyDescent="0.4">
      <c r="A120" s="394" t="s">
        <v>99</v>
      </c>
      <c r="B120" s="346" t="s">
        <v>105</v>
      </c>
      <c r="C120" s="524" t="str">
        <f>B20</f>
        <v>Glimepiride 2mg, Metformin HCl 500mg</v>
      </c>
      <c r="D120" s="524"/>
      <c r="E120" s="335" t="s">
        <v>106</v>
      </c>
      <c r="G120" s="336">
        <f>F115</f>
        <v>0.98518164531562447</v>
      </c>
    </row>
    <row r="121" spans="1:10" ht="19.5" customHeight="1" thickBot="1" x14ac:dyDescent="0.35">
      <c r="A121" s="419"/>
      <c r="B121" s="419"/>
      <c r="C121" s="392"/>
      <c r="D121" s="392"/>
      <c r="E121" s="392"/>
      <c r="F121" s="392"/>
      <c r="G121" s="392"/>
      <c r="H121" s="392"/>
    </row>
    <row r="122" spans="1:10" x14ac:dyDescent="0.3">
      <c r="B122" s="525" t="s">
        <v>67</v>
      </c>
      <c r="C122" s="525"/>
      <c r="E122" s="418" t="s">
        <v>68</v>
      </c>
      <c r="F122" s="393"/>
      <c r="G122" s="525" t="s">
        <v>69</v>
      </c>
      <c r="H122" s="525"/>
    </row>
    <row r="123" spans="1:10" ht="69.95" customHeight="1" x14ac:dyDescent="0.3">
      <c r="A123" s="394" t="s">
        <v>70</v>
      </c>
      <c r="B123" s="396"/>
      <c r="C123" s="396"/>
      <c r="E123" s="396"/>
      <c r="G123" s="396"/>
      <c r="H123" s="396"/>
    </row>
    <row r="124" spans="1:10" ht="69.95" customHeight="1" x14ac:dyDescent="0.3">
      <c r="A124" s="394" t="s">
        <v>71</v>
      </c>
      <c r="B124" s="397"/>
      <c r="C124" s="397"/>
      <c r="E124" s="397"/>
      <c r="G124" s="398"/>
      <c r="H124" s="398"/>
    </row>
    <row r="125" spans="1:10" x14ac:dyDescent="0.3">
      <c r="A125" s="354"/>
      <c r="B125" s="354"/>
      <c r="C125" s="354"/>
      <c r="D125" s="354"/>
      <c r="E125" s="354"/>
      <c r="F125" s="331"/>
      <c r="G125" s="354"/>
      <c r="H125" s="354"/>
    </row>
    <row r="126" spans="1:10" x14ac:dyDescent="0.3">
      <c r="A126" s="354"/>
      <c r="B126" s="354"/>
      <c r="C126" s="354"/>
      <c r="D126" s="354"/>
      <c r="E126" s="354"/>
      <c r="F126" s="331"/>
      <c r="G126" s="354"/>
      <c r="H126" s="354"/>
    </row>
    <row r="127" spans="1:10" x14ac:dyDescent="0.3">
      <c r="A127" s="354"/>
      <c r="B127" s="354"/>
      <c r="C127" s="354"/>
      <c r="D127" s="354"/>
      <c r="E127" s="354"/>
      <c r="F127" s="331"/>
      <c r="G127" s="354"/>
      <c r="H127" s="354"/>
    </row>
    <row r="128" spans="1:10" x14ac:dyDescent="0.3">
      <c r="A128" s="354"/>
      <c r="B128" s="354"/>
      <c r="C128" s="354"/>
      <c r="D128" s="354"/>
      <c r="E128" s="354"/>
      <c r="F128" s="331"/>
      <c r="G128" s="354"/>
      <c r="H128" s="354"/>
    </row>
    <row r="129" spans="1:8" x14ac:dyDescent="0.3">
      <c r="A129" s="354"/>
      <c r="B129" s="354"/>
      <c r="C129" s="354"/>
      <c r="D129" s="354"/>
      <c r="E129" s="354"/>
      <c r="F129" s="331"/>
      <c r="G129" s="354"/>
      <c r="H129" s="354"/>
    </row>
    <row r="130" spans="1:8" x14ac:dyDescent="0.3">
      <c r="A130" s="354"/>
      <c r="B130" s="354"/>
      <c r="C130" s="354"/>
      <c r="D130" s="354"/>
      <c r="E130" s="354"/>
      <c r="F130" s="331"/>
      <c r="G130" s="354"/>
      <c r="H130" s="354"/>
    </row>
    <row r="131" spans="1:8" x14ac:dyDescent="0.3">
      <c r="A131" s="354"/>
      <c r="B131" s="354"/>
      <c r="C131" s="354"/>
      <c r="D131" s="354"/>
      <c r="E131" s="354"/>
      <c r="F131" s="331"/>
      <c r="G131" s="354"/>
      <c r="H131" s="354"/>
    </row>
    <row r="132" spans="1:8" x14ac:dyDescent="0.3">
      <c r="A132" s="354"/>
      <c r="B132" s="354"/>
      <c r="C132" s="354"/>
      <c r="D132" s="354"/>
      <c r="E132" s="354"/>
      <c r="F132" s="331"/>
      <c r="G132" s="354"/>
      <c r="H132" s="354"/>
    </row>
    <row r="133" spans="1:8" x14ac:dyDescent="0.3">
      <c r="A133" s="354"/>
      <c r="B133" s="354"/>
      <c r="C133" s="354"/>
      <c r="D133" s="354"/>
      <c r="E133" s="354"/>
      <c r="F133" s="331"/>
      <c r="G133" s="354"/>
      <c r="H133" s="354"/>
    </row>
    <row r="250" spans="1:1" x14ac:dyDescent="0.3">
      <c r="A250" s="33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30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" zoomScale="60" zoomScaleNormal="40" zoomScalePageLayoutView="55" workbookViewId="0">
      <selection activeCell="D108" sqref="D108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522" t="s">
        <v>84</v>
      </c>
      <c r="B1" s="522"/>
      <c r="C1" s="522"/>
      <c r="D1" s="522"/>
      <c r="E1" s="522"/>
      <c r="F1" s="522"/>
      <c r="G1" s="522"/>
      <c r="H1" s="522"/>
      <c r="I1" s="522"/>
    </row>
    <row r="2" spans="1:9" ht="18.75" customHeight="1" x14ac:dyDescent="0.3">
      <c r="A2" s="522"/>
      <c r="B2" s="522"/>
      <c r="C2" s="522"/>
      <c r="D2" s="522"/>
      <c r="E2" s="522"/>
      <c r="F2" s="522"/>
      <c r="G2" s="522"/>
      <c r="H2" s="522"/>
      <c r="I2" s="522"/>
    </row>
    <row r="3" spans="1:9" ht="18.75" customHeight="1" x14ac:dyDescent="0.3">
      <c r="A3" s="522"/>
      <c r="B3" s="522"/>
      <c r="C3" s="522"/>
      <c r="D3" s="522"/>
      <c r="E3" s="522"/>
      <c r="F3" s="522"/>
      <c r="G3" s="522"/>
      <c r="H3" s="522"/>
      <c r="I3" s="522"/>
    </row>
    <row r="4" spans="1:9" ht="18.75" customHeight="1" x14ac:dyDescent="0.3">
      <c r="A4" s="522"/>
      <c r="B4" s="522"/>
      <c r="C4" s="522"/>
      <c r="D4" s="522"/>
      <c r="E4" s="522"/>
      <c r="F4" s="522"/>
      <c r="G4" s="522"/>
      <c r="H4" s="522"/>
      <c r="I4" s="522"/>
    </row>
    <row r="5" spans="1:9" ht="18.75" customHeight="1" x14ac:dyDescent="0.3">
      <c r="A5" s="522"/>
      <c r="B5" s="522"/>
      <c r="C5" s="522"/>
      <c r="D5" s="522"/>
      <c r="E5" s="522"/>
      <c r="F5" s="522"/>
      <c r="G5" s="522"/>
      <c r="H5" s="522"/>
      <c r="I5" s="522"/>
    </row>
    <row r="6" spans="1:9" ht="18.75" customHeight="1" x14ac:dyDescent="0.3">
      <c r="A6" s="522"/>
      <c r="B6" s="522"/>
      <c r="C6" s="522"/>
      <c r="D6" s="522"/>
      <c r="E6" s="522"/>
      <c r="F6" s="522"/>
      <c r="G6" s="522"/>
      <c r="H6" s="522"/>
      <c r="I6" s="522"/>
    </row>
    <row r="7" spans="1:9" ht="18.75" customHeight="1" x14ac:dyDescent="0.3">
      <c r="A7" s="522"/>
      <c r="B7" s="522"/>
      <c r="C7" s="522"/>
      <c r="D7" s="522"/>
      <c r="E7" s="522"/>
      <c r="F7" s="522"/>
      <c r="G7" s="522"/>
      <c r="H7" s="522"/>
      <c r="I7" s="522"/>
    </row>
    <row r="8" spans="1:9" x14ac:dyDescent="0.3">
      <c r="A8" s="523" t="s">
        <v>85</v>
      </c>
      <c r="B8" s="523"/>
      <c r="C8" s="523"/>
      <c r="D8" s="523"/>
      <c r="E8" s="523"/>
      <c r="F8" s="523"/>
      <c r="G8" s="523"/>
      <c r="H8" s="523"/>
      <c r="I8" s="523"/>
    </row>
    <row r="9" spans="1:9" x14ac:dyDescent="0.3">
      <c r="A9" s="523"/>
      <c r="B9" s="523"/>
      <c r="C9" s="523"/>
      <c r="D9" s="523"/>
      <c r="E9" s="523"/>
      <c r="F9" s="523"/>
      <c r="G9" s="523"/>
      <c r="H9" s="523"/>
      <c r="I9" s="523"/>
    </row>
    <row r="10" spans="1:9" x14ac:dyDescent="0.3">
      <c r="A10" s="523"/>
      <c r="B10" s="523"/>
      <c r="C10" s="523"/>
      <c r="D10" s="523"/>
      <c r="E10" s="523"/>
      <c r="F10" s="523"/>
      <c r="G10" s="523"/>
      <c r="H10" s="523"/>
      <c r="I10" s="523"/>
    </row>
    <row r="11" spans="1:9" x14ac:dyDescent="0.3">
      <c r="A11" s="523"/>
      <c r="B11" s="523"/>
      <c r="C11" s="523"/>
      <c r="D11" s="523"/>
      <c r="E11" s="523"/>
      <c r="F11" s="523"/>
      <c r="G11" s="523"/>
      <c r="H11" s="523"/>
      <c r="I11" s="523"/>
    </row>
    <row r="12" spans="1:9" x14ac:dyDescent="0.3">
      <c r="A12" s="523"/>
      <c r="B12" s="523"/>
      <c r="C12" s="523"/>
      <c r="D12" s="523"/>
      <c r="E12" s="523"/>
      <c r="F12" s="523"/>
      <c r="G12" s="523"/>
      <c r="H12" s="523"/>
      <c r="I12" s="523"/>
    </row>
    <row r="13" spans="1:9" x14ac:dyDescent="0.3">
      <c r="A13" s="523"/>
      <c r="B13" s="523"/>
      <c r="C13" s="523"/>
      <c r="D13" s="523"/>
      <c r="E13" s="523"/>
      <c r="F13" s="523"/>
      <c r="G13" s="523"/>
      <c r="H13" s="523"/>
      <c r="I13" s="523"/>
    </row>
    <row r="14" spans="1:9" x14ac:dyDescent="0.3">
      <c r="A14" s="523"/>
      <c r="B14" s="523"/>
      <c r="C14" s="523"/>
      <c r="D14" s="523"/>
      <c r="E14" s="523"/>
      <c r="F14" s="523"/>
      <c r="G14" s="523"/>
      <c r="H14" s="523"/>
      <c r="I14" s="523"/>
    </row>
    <row r="15" spans="1:9" ht="19.5" customHeight="1" x14ac:dyDescent="0.3">
      <c r="A15" s="229"/>
    </row>
    <row r="16" spans="1:9" ht="19.5" customHeight="1" x14ac:dyDescent="0.3">
      <c r="A16" s="495" t="s">
        <v>72</v>
      </c>
      <c r="B16" s="496"/>
      <c r="C16" s="496"/>
      <c r="D16" s="496"/>
      <c r="E16" s="496"/>
      <c r="F16" s="496"/>
      <c r="G16" s="496"/>
      <c r="H16" s="497"/>
    </row>
    <row r="17" spans="1:14" ht="20.25" customHeight="1" x14ac:dyDescent="0.3">
      <c r="A17" s="498" t="s">
        <v>0</v>
      </c>
      <c r="B17" s="498"/>
      <c r="C17" s="498"/>
      <c r="D17" s="498"/>
      <c r="E17" s="498"/>
      <c r="F17" s="498"/>
      <c r="G17" s="498"/>
      <c r="H17" s="498"/>
    </row>
    <row r="18" spans="1:14" ht="26.25" customHeight="1" x14ac:dyDescent="0.4">
      <c r="A18" s="231" t="s">
        <v>1</v>
      </c>
      <c r="B18" s="494" t="s">
        <v>74</v>
      </c>
      <c r="C18" s="494"/>
      <c r="D18" s="400"/>
      <c r="E18" s="232"/>
      <c r="F18" s="233"/>
      <c r="G18" s="233"/>
      <c r="H18" s="233"/>
    </row>
    <row r="19" spans="1:14" ht="26.25" customHeight="1" x14ac:dyDescent="0.4">
      <c r="A19" s="231" t="s">
        <v>2</v>
      </c>
      <c r="B19" s="234" t="s">
        <v>75</v>
      </c>
      <c r="C19" s="402">
        <v>21</v>
      </c>
      <c r="D19" s="233"/>
      <c r="E19" s="233"/>
      <c r="F19" s="233"/>
      <c r="G19" s="233"/>
      <c r="H19" s="233"/>
    </row>
    <row r="20" spans="1:14" ht="26.25" customHeight="1" x14ac:dyDescent="0.4">
      <c r="A20" s="231" t="s">
        <v>3</v>
      </c>
      <c r="B20" s="499" t="s">
        <v>76</v>
      </c>
      <c r="C20" s="499"/>
      <c r="D20" s="233"/>
      <c r="E20" s="233"/>
      <c r="F20" s="233"/>
      <c r="G20" s="233"/>
      <c r="H20" s="233"/>
    </row>
    <row r="21" spans="1:14" ht="26.25" customHeight="1" x14ac:dyDescent="0.4">
      <c r="A21" s="231" t="s">
        <v>4</v>
      </c>
      <c r="B21" s="499" t="s">
        <v>76</v>
      </c>
      <c r="C21" s="499"/>
      <c r="D21" s="499"/>
      <c r="E21" s="499"/>
      <c r="F21" s="499"/>
      <c r="G21" s="499"/>
      <c r="H21" s="499"/>
      <c r="I21" s="235"/>
    </row>
    <row r="22" spans="1:14" ht="26.25" customHeight="1" x14ac:dyDescent="0.4">
      <c r="A22" s="231" t="s">
        <v>5</v>
      </c>
      <c r="B22" s="236" t="s">
        <v>77</v>
      </c>
      <c r="C22" s="233"/>
      <c r="D22" s="233"/>
      <c r="E22" s="233"/>
      <c r="F22" s="233"/>
      <c r="G22" s="233"/>
      <c r="H22" s="233"/>
    </row>
    <row r="23" spans="1:14" ht="26.25" customHeight="1" x14ac:dyDescent="0.4">
      <c r="A23" s="231" t="s">
        <v>6</v>
      </c>
      <c r="B23" s="236"/>
      <c r="C23" s="233"/>
      <c r="D23" s="233"/>
      <c r="E23" s="233"/>
      <c r="F23" s="233"/>
      <c r="G23" s="233"/>
      <c r="H23" s="233"/>
    </row>
    <row r="24" spans="1:14" x14ac:dyDescent="0.3">
      <c r="A24" s="231"/>
      <c r="B24" s="237"/>
    </row>
    <row r="25" spans="1:14" x14ac:dyDescent="0.3">
      <c r="A25" s="238" t="s">
        <v>7</v>
      </c>
      <c r="B25" s="237"/>
    </row>
    <row r="26" spans="1:14" ht="26.25" customHeight="1" x14ac:dyDescent="0.4">
      <c r="A26" s="239" t="s">
        <v>8</v>
      </c>
      <c r="B26" s="494" t="s">
        <v>130</v>
      </c>
      <c r="C26" s="494"/>
    </row>
    <row r="27" spans="1:14" ht="26.25" customHeight="1" x14ac:dyDescent="0.4">
      <c r="A27" s="240" t="s">
        <v>9</v>
      </c>
      <c r="B27" s="500" t="s">
        <v>107</v>
      </c>
      <c r="C27" s="500"/>
    </row>
    <row r="28" spans="1:14" ht="27" customHeight="1" x14ac:dyDescent="0.4">
      <c r="A28" s="240" t="s">
        <v>10</v>
      </c>
      <c r="B28" s="241">
        <v>99.19</v>
      </c>
    </row>
    <row r="29" spans="1:14" s="3" customFormat="1" ht="27" customHeight="1" x14ac:dyDescent="0.4">
      <c r="A29" s="240" t="s">
        <v>11</v>
      </c>
      <c r="B29" s="242">
        <v>0</v>
      </c>
      <c r="C29" s="501" t="s">
        <v>12</v>
      </c>
      <c r="D29" s="502"/>
      <c r="E29" s="502"/>
      <c r="F29" s="502"/>
      <c r="G29" s="503"/>
      <c r="I29" s="243"/>
      <c r="J29" s="243"/>
      <c r="K29" s="243"/>
      <c r="L29" s="243"/>
    </row>
    <row r="30" spans="1:14" s="3" customFormat="1" ht="19.5" customHeight="1" x14ac:dyDescent="0.3">
      <c r="A30" s="240" t="s">
        <v>13</v>
      </c>
      <c r="B30" s="244">
        <f>B28-B29</f>
        <v>99.19</v>
      </c>
      <c r="C30" s="245"/>
      <c r="D30" s="245"/>
      <c r="E30" s="245"/>
      <c r="F30" s="245"/>
      <c r="G30" s="246"/>
      <c r="I30" s="243"/>
      <c r="J30" s="243"/>
      <c r="K30" s="243"/>
      <c r="L30" s="243"/>
    </row>
    <row r="31" spans="1:14" s="3" customFormat="1" ht="27" customHeight="1" x14ac:dyDescent="0.4">
      <c r="A31" s="240" t="s">
        <v>14</v>
      </c>
      <c r="B31" s="247">
        <v>1</v>
      </c>
      <c r="C31" s="504" t="s">
        <v>86</v>
      </c>
      <c r="D31" s="505"/>
      <c r="E31" s="505"/>
      <c r="F31" s="505"/>
      <c r="G31" s="505"/>
      <c r="H31" s="506"/>
      <c r="I31" s="243"/>
      <c r="J31" s="243"/>
      <c r="K31" s="243"/>
      <c r="L31" s="243"/>
    </row>
    <row r="32" spans="1:14" s="3" customFormat="1" ht="27" customHeight="1" x14ac:dyDescent="0.4">
      <c r="A32" s="240" t="s">
        <v>15</v>
      </c>
      <c r="B32" s="247">
        <v>1</v>
      </c>
      <c r="C32" s="504" t="s">
        <v>87</v>
      </c>
      <c r="D32" s="505"/>
      <c r="E32" s="505"/>
      <c r="F32" s="505"/>
      <c r="G32" s="505"/>
      <c r="H32" s="506"/>
      <c r="I32" s="243"/>
      <c r="J32" s="243"/>
      <c r="K32" s="243"/>
      <c r="L32" s="248"/>
      <c r="M32" s="248"/>
      <c r="N32" s="249"/>
    </row>
    <row r="33" spans="1:14" s="3" customFormat="1" ht="17.25" customHeight="1" x14ac:dyDescent="0.3">
      <c r="A33" s="240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3" customFormat="1" x14ac:dyDescent="0.3">
      <c r="A34" s="240" t="s">
        <v>16</v>
      </c>
      <c r="B34" s="252">
        <f>B31/B32</f>
        <v>1</v>
      </c>
      <c r="C34" s="230" t="s">
        <v>17</v>
      </c>
      <c r="D34" s="230"/>
      <c r="E34" s="230"/>
      <c r="F34" s="230"/>
      <c r="G34" s="230"/>
      <c r="I34" s="243"/>
      <c r="J34" s="243"/>
      <c r="K34" s="243"/>
      <c r="L34" s="248"/>
      <c r="M34" s="248"/>
      <c r="N34" s="249"/>
    </row>
    <row r="35" spans="1:14" s="3" customFormat="1" ht="19.5" customHeight="1" x14ac:dyDescent="0.3">
      <c r="A35" s="240"/>
      <c r="B35" s="244"/>
      <c r="G35" s="230"/>
      <c r="I35" s="243"/>
      <c r="J35" s="243"/>
      <c r="K35" s="243"/>
      <c r="L35" s="248"/>
      <c r="M35" s="248"/>
      <c r="N35" s="249"/>
    </row>
    <row r="36" spans="1:14" s="3" customFormat="1" ht="27" customHeight="1" x14ac:dyDescent="0.4">
      <c r="A36" s="253" t="s">
        <v>88</v>
      </c>
      <c r="B36" s="254">
        <v>25</v>
      </c>
      <c r="C36" s="230"/>
      <c r="D36" s="507" t="s">
        <v>18</v>
      </c>
      <c r="E36" s="508"/>
      <c r="F36" s="507" t="s">
        <v>19</v>
      </c>
      <c r="G36" s="509"/>
      <c r="J36" s="243"/>
      <c r="K36" s="243"/>
      <c r="L36" s="248"/>
      <c r="M36" s="248"/>
      <c r="N36" s="249"/>
    </row>
    <row r="37" spans="1:14" s="3" customFormat="1" ht="27" customHeight="1" x14ac:dyDescent="0.4">
      <c r="A37" s="255" t="s">
        <v>20</v>
      </c>
      <c r="B37" s="256">
        <v>1</v>
      </c>
      <c r="C37" s="257" t="s">
        <v>45</v>
      </c>
      <c r="D37" s="258" t="s">
        <v>21</v>
      </c>
      <c r="E37" s="259" t="s">
        <v>22</v>
      </c>
      <c r="F37" s="258" t="s">
        <v>21</v>
      </c>
      <c r="G37" s="260" t="s">
        <v>22</v>
      </c>
      <c r="I37" s="261" t="s">
        <v>89</v>
      </c>
      <c r="J37" s="243"/>
      <c r="K37" s="243"/>
      <c r="L37" s="248"/>
      <c r="M37" s="248"/>
      <c r="N37" s="249"/>
    </row>
    <row r="38" spans="1:14" s="3" customFormat="1" ht="26.25" customHeight="1" x14ac:dyDescent="0.4">
      <c r="A38" s="255" t="s">
        <v>23</v>
      </c>
      <c r="B38" s="256">
        <v>1</v>
      </c>
      <c r="C38" s="262">
        <v>1</v>
      </c>
      <c r="D38" s="412">
        <v>5898468</v>
      </c>
      <c r="E38" s="263">
        <f>IF(ISBLANK(D38),"-",$D$48/$D$45*D38)</f>
        <v>6129035.8566659074</v>
      </c>
      <c r="F38" s="412">
        <v>5989412</v>
      </c>
      <c r="G38" s="264">
        <f>IF(ISBLANK(F38),"-",$D$48/$F$45*F38)</f>
        <v>6126047.4104510807</v>
      </c>
      <c r="I38" s="265"/>
      <c r="J38" s="243"/>
      <c r="K38" s="243"/>
      <c r="L38" s="248"/>
      <c r="M38" s="248"/>
      <c r="N38" s="249"/>
    </row>
    <row r="39" spans="1:14" s="3" customFormat="1" ht="26.25" customHeight="1" x14ac:dyDescent="0.4">
      <c r="A39" s="255" t="s">
        <v>24</v>
      </c>
      <c r="B39" s="256">
        <v>1</v>
      </c>
      <c r="C39" s="266">
        <v>2</v>
      </c>
      <c r="D39" s="413">
        <v>5933489</v>
      </c>
      <c r="E39" s="268">
        <f>IF(ISBLANK(D39),"-",$D$48/$D$45*D39)</f>
        <v>6165425.8082154114</v>
      </c>
      <c r="F39" s="413">
        <v>5990860</v>
      </c>
      <c r="G39" s="269">
        <f>IF(ISBLANK(F39),"-",$D$48/$F$45*F39)</f>
        <v>6127528.4434223194</v>
      </c>
      <c r="I39" s="511">
        <f>ABS((F43/D43*D42)-F42)/D42</f>
        <v>1.6116264302785943E-3</v>
      </c>
      <c r="J39" s="243"/>
      <c r="K39" s="243"/>
      <c r="L39" s="248"/>
      <c r="M39" s="248"/>
      <c r="N39" s="249"/>
    </row>
    <row r="40" spans="1:14" ht="26.25" customHeight="1" x14ac:dyDescent="0.4">
      <c r="A40" s="255" t="s">
        <v>25</v>
      </c>
      <c r="B40" s="256">
        <v>1</v>
      </c>
      <c r="C40" s="266">
        <v>3</v>
      </c>
      <c r="D40" s="413">
        <v>5916517</v>
      </c>
      <c r="E40" s="268">
        <f>IF(ISBLANK(D40),"-",$D$48/$D$45*D40)</f>
        <v>6147790.3821082702</v>
      </c>
      <c r="F40" s="413">
        <v>6022040</v>
      </c>
      <c r="G40" s="269">
        <f>IF(ISBLANK(F40),"-",$D$48/$F$45*F40)</f>
        <v>6159419.7473195745</v>
      </c>
      <c r="I40" s="511"/>
      <c r="L40" s="248"/>
      <c r="M40" s="248"/>
      <c r="N40" s="270"/>
    </row>
    <row r="41" spans="1:14" ht="27" customHeight="1" x14ac:dyDescent="0.4">
      <c r="A41" s="255" t="s">
        <v>26</v>
      </c>
      <c r="B41" s="256">
        <v>1</v>
      </c>
      <c r="C41" s="271">
        <v>4</v>
      </c>
      <c r="D41" s="272"/>
      <c r="E41" s="273"/>
      <c r="F41" s="272"/>
      <c r="G41" s="274"/>
      <c r="I41" s="275"/>
      <c r="L41" s="248"/>
      <c r="M41" s="248"/>
      <c r="N41" s="270"/>
    </row>
    <row r="42" spans="1:14" ht="27" customHeight="1" x14ac:dyDescent="0.4">
      <c r="A42" s="255" t="s">
        <v>27</v>
      </c>
      <c r="B42" s="256">
        <v>1</v>
      </c>
      <c r="C42" s="276" t="s">
        <v>28</v>
      </c>
      <c r="D42" s="277">
        <f>AVERAGE(D38:D41)</f>
        <v>5916158</v>
      </c>
      <c r="E42" s="278">
        <f>AVERAGE(E38:E41)</f>
        <v>6147417.3489965303</v>
      </c>
      <c r="F42" s="277">
        <f>AVERAGE(F38:F41)</f>
        <v>6000770.666666667</v>
      </c>
      <c r="G42" s="279">
        <f>AVERAGE(G38:G41)</f>
        <v>6137665.2003976582</v>
      </c>
      <c r="H42" s="280"/>
    </row>
    <row r="43" spans="1:14" ht="26.25" customHeight="1" x14ac:dyDescent="0.4">
      <c r="A43" s="255" t="s">
        <v>29</v>
      </c>
      <c r="B43" s="256">
        <v>1</v>
      </c>
      <c r="C43" s="281" t="s">
        <v>90</v>
      </c>
      <c r="D43" s="282">
        <v>121.28</v>
      </c>
      <c r="E43" s="270"/>
      <c r="F43" s="282">
        <v>123.21</v>
      </c>
      <c r="H43" s="280"/>
    </row>
    <row r="44" spans="1:14" ht="26.25" customHeight="1" x14ac:dyDescent="0.4">
      <c r="A44" s="255" t="s">
        <v>31</v>
      </c>
      <c r="B44" s="256">
        <v>1</v>
      </c>
      <c r="C44" s="283" t="s">
        <v>91</v>
      </c>
      <c r="D44" s="284">
        <f>D43*$B$34</f>
        <v>121.28</v>
      </c>
      <c r="E44" s="285"/>
      <c r="F44" s="284">
        <f>F43*$B$34</f>
        <v>123.21</v>
      </c>
      <c r="H44" s="280"/>
    </row>
    <row r="45" spans="1:14" ht="19.5" customHeight="1" x14ac:dyDescent="0.3">
      <c r="A45" s="255" t="s">
        <v>33</v>
      </c>
      <c r="B45" s="286">
        <f>(B44/B43)*(B42/B41)*(B40/B39)*(B38/B37)*B36</f>
        <v>25</v>
      </c>
      <c r="C45" s="283" t="s">
        <v>92</v>
      </c>
      <c r="D45" s="287">
        <f>D44*$B$30/100</f>
        <v>120.29763199999999</v>
      </c>
      <c r="E45" s="288"/>
      <c r="F45" s="287">
        <f>F44*$B$30/100</f>
        <v>122.21199899999999</v>
      </c>
      <c r="H45" s="280"/>
    </row>
    <row r="46" spans="1:14" ht="19.5" customHeight="1" x14ac:dyDescent="0.3">
      <c r="A46" s="512" t="s">
        <v>35</v>
      </c>
      <c r="B46" s="513"/>
      <c r="C46" s="283" t="s">
        <v>93</v>
      </c>
      <c r="D46" s="289">
        <f>D45/$B$45</f>
        <v>4.8119052799999995</v>
      </c>
      <c r="E46" s="290"/>
      <c r="F46" s="291">
        <f>F45/$B$45</f>
        <v>4.8884799599999997</v>
      </c>
      <c r="H46" s="280"/>
    </row>
    <row r="47" spans="1:14" ht="27" customHeight="1" x14ac:dyDescent="0.4">
      <c r="A47" s="514"/>
      <c r="B47" s="515"/>
      <c r="C47" s="292" t="s">
        <v>94</v>
      </c>
      <c r="D47" s="293">
        <v>5</v>
      </c>
      <c r="E47" s="294"/>
      <c r="F47" s="290"/>
      <c r="H47" s="280"/>
    </row>
    <row r="48" spans="1:14" x14ac:dyDescent="0.3">
      <c r="C48" s="295" t="s">
        <v>37</v>
      </c>
      <c r="D48" s="287">
        <f>D47*$B$45</f>
        <v>125</v>
      </c>
      <c r="F48" s="296"/>
      <c r="H48" s="280"/>
    </row>
    <row r="49" spans="1:12" ht="19.5" customHeight="1" x14ac:dyDescent="0.3">
      <c r="C49" s="297" t="s">
        <v>38</v>
      </c>
      <c r="D49" s="298">
        <f>D48/B34</f>
        <v>125</v>
      </c>
      <c r="F49" s="296"/>
      <c r="H49" s="280"/>
    </row>
    <row r="50" spans="1:12" x14ac:dyDescent="0.3">
      <c r="C50" s="253" t="s">
        <v>39</v>
      </c>
      <c r="D50" s="299">
        <f>AVERAGE(E38:E41,G38:G41)</f>
        <v>6142541.2746970942</v>
      </c>
      <c r="F50" s="300"/>
      <c r="H50" s="280"/>
    </row>
    <row r="51" spans="1:12" x14ac:dyDescent="0.3">
      <c r="C51" s="255" t="s">
        <v>40</v>
      </c>
      <c r="D51" s="301">
        <f>STDEV(E38:E41,G38:G41)/D50</f>
        <v>2.8347304062920626E-3</v>
      </c>
      <c r="F51" s="300"/>
      <c r="H51" s="280"/>
    </row>
    <row r="52" spans="1:12" ht="19.5" customHeight="1" x14ac:dyDescent="0.3">
      <c r="C52" s="302" t="s">
        <v>41</v>
      </c>
      <c r="D52" s="303">
        <f>COUNT(E38:E41,G38:G41)</f>
        <v>6</v>
      </c>
      <c r="F52" s="300"/>
    </row>
    <row r="54" spans="1:12" x14ac:dyDescent="0.3">
      <c r="A54" s="304" t="s">
        <v>7</v>
      </c>
      <c r="B54" s="305" t="s">
        <v>42</v>
      </c>
    </row>
    <row r="55" spans="1:12" x14ac:dyDescent="0.3">
      <c r="A55" s="230" t="s">
        <v>43</v>
      </c>
      <c r="B55" s="306" t="str">
        <f>B21</f>
        <v>Glimepiride 2mg, Metformin HCl 500mg</v>
      </c>
    </row>
    <row r="56" spans="1:12" ht="26.25" customHeight="1" x14ac:dyDescent="0.4">
      <c r="A56" s="307" t="s">
        <v>95</v>
      </c>
      <c r="B56" s="308">
        <v>500</v>
      </c>
      <c r="C56" s="230" t="str">
        <f>B20</f>
        <v>Glimepiride 2mg, Metformin HCl 500mg</v>
      </c>
      <c r="H56" s="309"/>
    </row>
    <row r="57" spans="1:12" x14ac:dyDescent="0.3">
      <c r="A57" s="306" t="s">
        <v>96</v>
      </c>
      <c r="B57" s="401">
        <f>Uniformity!C46</f>
        <v>612.47249999999997</v>
      </c>
      <c r="H57" s="309"/>
    </row>
    <row r="58" spans="1:12" ht="19.5" customHeight="1" x14ac:dyDescent="0.3">
      <c r="H58" s="309"/>
    </row>
    <row r="59" spans="1:12" s="3" customFormat="1" ht="27" customHeight="1" x14ac:dyDescent="0.4">
      <c r="A59" s="253" t="s">
        <v>97</v>
      </c>
      <c r="B59" s="254">
        <v>100</v>
      </c>
      <c r="C59" s="230"/>
      <c r="D59" s="310" t="s">
        <v>44</v>
      </c>
      <c r="E59" s="311" t="s">
        <v>45</v>
      </c>
      <c r="F59" s="311" t="s">
        <v>21</v>
      </c>
      <c r="G59" s="311" t="s">
        <v>46</v>
      </c>
      <c r="H59" s="257" t="s">
        <v>47</v>
      </c>
      <c r="L59" s="243"/>
    </row>
    <row r="60" spans="1:12" s="3" customFormat="1" ht="26.25" customHeight="1" x14ac:dyDescent="0.4">
      <c r="A60" s="255" t="s">
        <v>98</v>
      </c>
      <c r="B60" s="256">
        <v>1</v>
      </c>
      <c r="C60" s="516" t="s">
        <v>49</v>
      </c>
      <c r="D60" s="519">
        <v>604.16999999999996</v>
      </c>
      <c r="E60" s="312">
        <v>1</v>
      </c>
      <c r="F60" s="313">
        <v>6270327</v>
      </c>
      <c r="G60" s="403">
        <f>IF(ISBLANK(F60),"-",(F60/$D$50*$D$47*$B$68)*($B$57/$D$60))</f>
        <v>517.41563519089391</v>
      </c>
      <c r="H60" s="314">
        <f t="shared" ref="H60:H70" si="0">IF(ISBLANK(F60),"-",G60/$B$56)</f>
        <v>1.0348312703817879</v>
      </c>
      <c r="L60" s="243"/>
    </row>
    <row r="61" spans="1:12" s="3" customFormat="1" ht="26.25" customHeight="1" x14ac:dyDescent="0.4">
      <c r="A61" s="255" t="s">
        <v>50</v>
      </c>
      <c r="B61" s="256">
        <v>1</v>
      </c>
      <c r="C61" s="517"/>
      <c r="D61" s="520"/>
      <c r="E61" s="315">
        <v>2</v>
      </c>
      <c r="F61" s="267">
        <v>6285975</v>
      </c>
      <c r="G61" s="404">
        <f>IF(ISBLANK(F61),"-",(F61/$D$50*$D$47*$B$68)*($B$57/$D$60))</f>
        <v>518.7068788308934</v>
      </c>
      <c r="H61" s="316">
        <f t="shared" si="0"/>
        <v>1.0374137576617868</v>
      </c>
      <c r="L61" s="243"/>
    </row>
    <row r="62" spans="1:12" s="3" customFormat="1" ht="26.25" customHeight="1" x14ac:dyDescent="0.4">
      <c r="A62" s="255" t="s">
        <v>51</v>
      </c>
      <c r="B62" s="256">
        <v>1</v>
      </c>
      <c r="C62" s="517"/>
      <c r="D62" s="520"/>
      <c r="E62" s="315">
        <v>3</v>
      </c>
      <c r="F62" s="317">
        <v>6287485</v>
      </c>
      <c r="G62" s="404">
        <f>IF(ISBLANK(F62),"-",(F62/$D$50*$D$47*$B$68)*($B$57/$D$60))</f>
        <v>518.83148120157341</v>
      </c>
      <c r="H62" s="316">
        <f t="shared" si="0"/>
        <v>1.0376629624031468</v>
      </c>
      <c r="L62" s="243"/>
    </row>
    <row r="63" spans="1:12" ht="27" customHeight="1" x14ac:dyDescent="0.4">
      <c r="A63" s="255" t="s">
        <v>52</v>
      </c>
      <c r="B63" s="256">
        <v>1</v>
      </c>
      <c r="C63" s="518"/>
      <c r="D63" s="521"/>
      <c r="E63" s="318">
        <v>4</v>
      </c>
      <c r="F63" s="319"/>
      <c r="G63" s="404"/>
      <c r="H63" s="316"/>
    </row>
    <row r="64" spans="1:12" ht="26.25" customHeight="1" x14ac:dyDescent="0.4">
      <c r="A64" s="255" t="s">
        <v>53</v>
      </c>
      <c r="B64" s="256">
        <v>1</v>
      </c>
      <c r="C64" s="516" t="s">
        <v>54</v>
      </c>
      <c r="D64" s="519">
        <v>608.82000000000005</v>
      </c>
      <c r="E64" s="312">
        <v>1</v>
      </c>
      <c r="F64" s="313">
        <v>6281846</v>
      </c>
      <c r="G64" s="405">
        <f>IF(ISBLANK(F64),"-",(F64/$D$50*$D$47*$B$68)*($B$57/$D$64))</f>
        <v>514.40702307069012</v>
      </c>
      <c r="H64" s="320">
        <f t="shared" si="0"/>
        <v>1.0288140461413802</v>
      </c>
    </row>
    <row r="65" spans="1:8" ht="26.25" customHeight="1" x14ac:dyDescent="0.4">
      <c r="A65" s="255" t="s">
        <v>55</v>
      </c>
      <c r="B65" s="256">
        <v>1</v>
      </c>
      <c r="C65" s="517"/>
      <c r="D65" s="520"/>
      <c r="E65" s="315">
        <v>2</v>
      </c>
      <c r="F65" s="267">
        <v>6282773</v>
      </c>
      <c r="G65" s="406">
        <f>IF(ISBLANK(F65),"-",(F65/$D$50*$D$47*$B$68)*($B$57/$D$64))</f>
        <v>514.48293313126578</v>
      </c>
      <c r="H65" s="321">
        <f t="shared" si="0"/>
        <v>1.0289658662625316</v>
      </c>
    </row>
    <row r="66" spans="1:8" ht="26.25" customHeight="1" x14ac:dyDescent="0.4">
      <c r="A66" s="255" t="s">
        <v>56</v>
      </c>
      <c r="B66" s="256">
        <v>1</v>
      </c>
      <c r="C66" s="517"/>
      <c r="D66" s="520"/>
      <c r="E66" s="315">
        <v>3</v>
      </c>
      <c r="F66" s="267">
        <v>6294383</v>
      </c>
      <c r="G66" s="406">
        <f>IF(ISBLANK(F66),"-",(F66/$D$50*$D$47*$B$68)*($B$57/$D$64))</f>
        <v>515.4336513656591</v>
      </c>
      <c r="H66" s="321">
        <f t="shared" si="0"/>
        <v>1.0308673027313182</v>
      </c>
    </row>
    <row r="67" spans="1:8" ht="27" customHeight="1" x14ac:dyDescent="0.4">
      <c r="A67" s="255" t="s">
        <v>57</v>
      </c>
      <c r="B67" s="256">
        <v>1</v>
      </c>
      <c r="C67" s="518"/>
      <c r="D67" s="521"/>
      <c r="E67" s="318">
        <v>4</v>
      </c>
      <c r="F67" s="319"/>
      <c r="G67" s="407"/>
      <c r="H67" s="322"/>
    </row>
    <row r="68" spans="1:8" ht="26.25" customHeight="1" x14ac:dyDescent="0.4">
      <c r="A68" s="255" t="s">
        <v>58</v>
      </c>
      <c r="B68" s="323">
        <f>(B67/B66)*(B65/B64)*(B63/B62)*(B61/B60)*B59</f>
        <v>100</v>
      </c>
      <c r="C68" s="516" t="s">
        <v>59</v>
      </c>
      <c r="D68" s="519">
        <v>617.83000000000004</v>
      </c>
      <c r="E68" s="312">
        <v>1</v>
      </c>
      <c r="F68" s="313">
        <v>6343069</v>
      </c>
      <c r="G68" s="405">
        <f>IF(ISBLANK(F68),"-",(F68/$D$50*$D$47*$B$68)*($B$57/$D$68))</f>
        <v>511.84558050464329</v>
      </c>
      <c r="H68" s="316">
        <f t="shared" si="0"/>
        <v>1.0236911610092867</v>
      </c>
    </row>
    <row r="69" spans="1:8" ht="27" customHeight="1" x14ac:dyDescent="0.4">
      <c r="A69" s="302" t="s">
        <v>60</v>
      </c>
      <c r="B69" s="324">
        <f>(D47*B68)/B56*B57</f>
        <v>612.47249999999997</v>
      </c>
      <c r="C69" s="517"/>
      <c r="D69" s="520"/>
      <c r="E69" s="315">
        <v>2</v>
      </c>
      <c r="F69" s="267">
        <v>6342723</v>
      </c>
      <c r="G69" s="406">
        <f>IF(ISBLANK(F69),"-",(F69/$D$50*$D$47*$B$68)*($B$57/$D$68))</f>
        <v>511.81766049134137</v>
      </c>
      <c r="H69" s="316">
        <f t="shared" si="0"/>
        <v>1.0236353209826827</v>
      </c>
    </row>
    <row r="70" spans="1:8" ht="26.25" customHeight="1" x14ac:dyDescent="0.4">
      <c r="A70" s="529" t="s">
        <v>35</v>
      </c>
      <c r="B70" s="530"/>
      <c r="C70" s="517"/>
      <c r="D70" s="520"/>
      <c r="E70" s="315">
        <v>3</v>
      </c>
      <c r="F70" s="267">
        <v>6346966</v>
      </c>
      <c r="G70" s="406">
        <f>IF(ISBLANK(F70),"-",(F70/$D$50*$D$47*$B$68)*($B$57/$D$68))</f>
        <v>512.16004377584932</v>
      </c>
      <c r="H70" s="316">
        <f t="shared" si="0"/>
        <v>1.0243200875516987</v>
      </c>
    </row>
    <row r="71" spans="1:8" ht="27" customHeight="1" x14ac:dyDescent="0.4">
      <c r="A71" s="531"/>
      <c r="B71" s="532"/>
      <c r="C71" s="528"/>
      <c r="D71" s="521"/>
      <c r="E71" s="318">
        <v>4</v>
      </c>
      <c r="F71" s="319"/>
      <c r="G71" s="407"/>
      <c r="H71" s="325"/>
    </row>
    <row r="72" spans="1:8" ht="26.25" customHeight="1" x14ac:dyDescent="0.4">
      <c r="A72" s="326"/>
      <c r="B72" s="326"/>
      <c r="C72" s="326"/>
      <c r="D72" s="326"/>
      <c r="E72" s="326"/>
      <c r="F72" s="327"/>
      <c r="G72" s="328" t="s">
        <v>28</v>
      </c>
      <c r="H72" s="329">
        <f>AVERAGE(H60:H71)</f>
        <v>1.030022419458402</v>
      </c>
    </row>
    <row r="73" spans="1:8" ht="26.25" customHeight="1" x14ac:dyDescent="0.4">
      <c r="C73" s="326"/>
      <c r="D73" s="326"/>
      <c r="E73" s="326"/>
      <c r="F73" s="327"/>
      <c r="G73" s="330" t="s">
        <v>40</v>
      </c>
      <c r="H73" s="408">
        <f>STDEV(H60:H71)/H72</f>
        <v>5.4577720480479845E-3</v>
      </c>
    </row>
    <row r="74" spans="1:8" ht="27" customHeight="1" x14ac:dyDescent="0.4">
      <c r="A74" s="326"/>
      <c r="B74" s="326"/>
      <c r="C74" s="327"/>
      <c r="D74" s="327"/>
      <c r="E74" s="331"/>
      <c r="F74" s="327"/>
      <c r="G74" s="332" t="s">
        <v>41</v>
      </c>
      <c r="H74" s="333">
        <f>COUNT(H60:H71)</f>
        <v>9</v>
      </c>
    </row>
    <row r="76" spans="1:8" ht="26.25" customHeight="1" x14ac:dyDescent="0.4">
      <c r="A76" s="239" t="s">
        <v>99</v>
      </c>
      <c r="B76" s="334" t="s">
        <v>100</v>
      </c>
      <c r="C76" s="524" t="str">
        <f>B20</f>
        <v>Glimepiride 2mg, Metformin HCl 500mg</v>
      </c>
      <c r="D76" s="524"/>
      <c r="E76" s="335" t="s">
        <v>101</v>
      </c>
      <c r="F76" s="335"/>
      <c r="G76" s="336">
        <f>H72</f>
        <v>1.030022419458402</v>
      </c>
      <c r="H76" s="337"/>
    </row>
    <row r="77" spans="1:8" x14ac:dyDescent="0.3">
      <c r="A77" s="238" t="s">
        <v>102</v>
      </c>
      <c r="B77" s="238" t="s">
        <v>61</v>
      </c>
    </row>
    <row r="78" spans="1:8" x14ac:dyDescent="0.3">
      <c r="A78" s="238"/>
      <c r="B78" s="238"/>
    </row>
    <row r="79" spans="1:8" ht="26.25" customHeight="1" x14ac:dyDescent="0.4">
      <c r="A79" s="239" t="s">
        <v>8</v>
      </c>
      <c r="B79" s="510" t="str">
        <f>B26</f>
        <v>Metformin HCl</v>
      </c>
      <c r="C79" s="510"/>
    </row>
    <row r="80" spans="1:8" ht="26.25" customHeight="1" x14ac:dyDescent="0.4">
      <c r="A80" s="240" t="s">
        <v>9</v>
      </c>
      <c r="B80" s="510" t="str">
        <f>B27</f>
        <v>M19-1</v>
      </c>
      <c r="C80" s="510"/>
    </row>
    <row r="81" spans="1:12" ht="27" customHeight="1" x14ac:dyDescent="0.4">
      <c r="A81" s="240" t="s">
        <v>10</v>
      </c>
      <c r="B81" s="338">
        <f>B28</f>
        <v>99.19</v>
      </c>
    </row>
    <row r="82" spans="1:12" s="3" customFormat="1" ht="27" customHeight="1" x14ac:dyDescent="0.4">
      <c r="A82" s="240" t="s">
        <v>11</v>
      </c>
      <c r="B82" s="242">
        <v>0</v>
      </c>
      <c r="C82" s="501" t="s">
        <v>12</v>
      </c>
      <c r="D82" s="502"/>
      <c r="E82" s="502"/>
      <c r="F82" s="502"/>
      <c r="G82" s="503"/>
      <c r="I82" s="243"/>
      <c r="J82" s="243"/>
      <c r="K82" s="243"/>
      <c r="L82" s="243"/>
    </row>
    <row r="83" spans="1:12" s="3" customFormat="1" ht="19.5" customHeight="1" x14ac:dyDescent="0.3">
      <c r="A83" s="240" t="s">
        <v>13</v>
      </c>
      <c r="B83" s="244">
        <f>B81-B82</f>
        <v>99.19</v>
      </c>
      <c r="C83" s="245"/>
      <c r="D83" s="245"/>
      <c r="E83" s="245"/>
      <c r="F83" s="245"/>
      <c r="G83" s="246"/>
      <c r="I83" s="243"/>
      <c r="J83" s="243"/>
      <c r="K83" s="243"/>
      <c r="L83" s="243"/>
    </row>
    <row r="84" spans="1:12" s="3" customFormat="1" ht="27" customHeight="1" x14ac:dyDescent="0.4">
      <c r="A84" s="240" t="s">
        <v>14</v>
      </c>
      <c r="B84" s="247">
        <v>1</v>
      </c>
      <c r="C84" s="504" t="s">
        <v>103</v>
      </c>
      <c r="D84" s="505"/>
      <c r="E84" s="505"/>
      <c r="F84" s="505"/>
      <c r="G84" s="505"/>
      <c r="H84" s="506"/>
      <c r="I84" s="243"/>
      <c r="J84" s="243"/>
      <c r="K84" s="243"/>
      <c r="L84" s="243"/>
    </row>
    <row r="85" spans="1:12" s="3" customFormat="1" ht="27" customHeight="1" x14ac:dyDescent="0.4">
      <c r="A85" s="240" t="s">
        <v>15</v>
      </c>
      <c r="B85" s="247">
        <v>1</v>
      </c>
      <c r="C85" s="504" t="s">
        <v>104</v>
      </c>
      <c r="D85" s="505"/>
      <c r="E85" s="505"/>
      <c r="F85" s="505"/>
      <c r="G85" s="505"/>
      <c r="H85" s="506"/>
      <c r="I85" s="243"/>
      <c r="J85" s="243"/>
      <c r="K85" s="243"/>
      <c r="L85" s="243"/>
    </row>
    <row r="86" spans="1:12" s="3" customFormat="1" x14ac:dyDescent="0.3">
      <c r="A86" s="240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3" customFormat="1" x14ac:dyDescent="0.3">
      <c r="A87" s="240" t="s">
        <v>16</v>
      </c>
      <c r="B87" s="252">
        <f>B84/B85</f>
        <v>1</v>
      </c>
      <c r="C87" s="230" t="s">
        <v>17</v>
      </c>
      <c r="D87" s="230"/>
      <c r="E87" s="230"/>
      <c r="F87" s="230"/>
      <c r="G87" s="230"/>
      <c r="I87" s="243"/>
      <c r="J87" s="243"/>
      <c r="K87" s="243"/>
      <c r="L87" s="243"/>
    </row>
    <row r="88" spans="1:12" ht="19.5" customHeight="1" x14ac:dyDescent="0.3">
      <c r="A88" s="238"/>
      <c r="B88" s="238"/>
    </row>
    <row r="89" spans="1:12" ht="27" customHeight="1" x14ac:dyDescent="0.4">
      <c r="A89" s="253" t="s">
        <v>88</v>
      </c>
      <c r="B89" s="254">
        <v>20</v>
      </c>
      <c r="D89" s="339" t="s">
        <v>18</v>
      </c>
      <c r="E89" s="340"/>
      <c r="F89" s="507" t="s">
        <v>19</v>
      </c>
      <c r="G89" s="509"/>
    </row>
    <row r="90" spans="1:12" ht="27" customHeight="1" x14ac:dyDescent="0.4">
      <c r="A90" s="255" t="s">
        <v>20</v>
      </c>
      <c r="B90" s="256">
        <v>1</v>
      </c>
      <c r="C90" s="341" t="s">
        <v>45</v>
      </c>
      <c r="D90" s="258" t="s">
        <v>21</v>
      </c>
      <c r="E90" s="259" t="s">
        <v>22</v>
      </c>
      <c r="F90" s="258" t="s">
        <v>21</v>
      </c>
      <c r="G90" s="342" t="s">
        <v>22</v>
      </c>
      <c r="I90" s="261" t="s">
        <v>89</v>
      </c>
    </row>
    <row r="91" spans="1:12" ht="26.25" customHeight="1" x14ac:dyDescent="0.4">
      <c r="A91" s="255" t="s">
        <v>23</v>
      </c>
      <c r="B91" s="256">
        <v>1</v>
      </c>
      <c r="C91" s="343">
        <v>1</v>
      </c>
      <c r="D91" s="412">
        <v>1335567</v>
      </c>
      <c r="E91" s="263">
        <f>IF(ISBLANK(D91),"-",$D$101/$D$98*D91)</f>
        <v>5720.5456604229785</v>
      </c>
      <c r="F91" s="412">
        <v>1447022</v>
      </c>
      <c r="G91" s="264">
        <f>IF(ISBLANK(F91),"-",$D$101/$F$98*F91)</f>
        <v>5589.4198950193895</v>
      </c>
      <c r="I91" s="265"/>
    </row>
    <row r="92" spans="1:12" ht="26.25" customHeight="1" x14ac:dyDescent="0.4">
      <c r="A92" s="255" t="s">
        <v>24</v>
      </c>
      <c r="B92" s="256">
        <v>1</v>
      </c>
      <c r="C92" s="327">
        <v>2</v>
      </c>
      <c r="D92" s="413">
        <v>1345060</v>
      </c>
      <c r="E92" s="268">
        <f>IF(ISBLANK(D92),"-",$D$101/$D$98*D92)</f>
        <v>5761.206398487333</v>
      </c>
      <c r="F92" s="413">
        <v>1449300</v>
      </c>
      <c r="G92" s="269">
        <f>IF(ISBLANK(F92),"-",$D$101/$F$98*F92)</f>
        <v>5598.2191382381206</v>
      </c>
      <c r="I92" s="511">
        <f>ABS((F96/D96*D95)-F95)/D95</f>
        <v>3.0990970180754578E-2</v>
      </c>
    </row>
    <row r="93" spans="1:12" ht="26.25" customHeight="1" x14ac:dyDescent="0.4">
      <c r="A93" s="255" t="s">
        <v>25</v>
      </c>
      <c r="B93" s="256">
        <v>1</v>
      </c>
      <c r="C93" s="327">
        <v>3</v>
      </c>
      <c r="D93" s="413">
        <v>1347771</v>
      </c>
      <c r="E93" s="268">
        <f>IF(ISBLANK(D93),"-",$D$101/$D$98*D93)</f>
        <v>5772.8182452051742</v>
      </c>
      <c r="F93" s="413">
        <v>1445799</v>
      </c>
      <c r="G93" s="269">
        <f>IF(ISBLANK(F93),"-",$D$101/$F$98*F93)</f>
        <v>5584.6958061447158</v>
      </c>
      <c r="I93" s="511"/>
    </row>
    <row r="94" spans="1:12" ht="27" customHeight="1" x14ac:dyDescent="0.4">
      <c r="A94" s="255" t="s">
        <v>26</v>
      </c>
      <c r="B94" s="256">
        <v>1</v>
      </c>
      <c r="C94" s="344">
        <v>4</v>
      </c>
      <c r="D94" s="272"/>
      <c r="E94" s="273"/>
      <c r="F94" s="345"/>
      <c r="G94" s="274"/>
      <c r="I94" s="275"/>
    </row>
    <row r="95" spans="1:12" ht="27" customHeight="1" x14ac:dyDescent="0.4">
      <c r="A95" s="255" t="s">
        <v>27</v>
      </c>
      <c r="B95" s="256">
        <v>1</v>
      </c>
      <c r="C95" s="346" t="s">
        <v>28</v>
      </c>
      <c r="D95" s="347">
        <f>AVERAGE(D91:D94)</f>
        <v>1342799.3333333333</v>
      </c>
      <c r="E95" s="278">
        <f>AVERAGE(E91:E94)</f>
        <v>5751.5234347051619</v>
      </c>
      <c r="F95" s="348">
        <f>AVERAGE(F91:F94)</f>
        <v>1447373.6666666667</v>
      </c>
      <c r="G95" s="349">
        <f>AVERAGE(G91:G94)</f>
        <v>5590.778279800742</v>
      </c>
    </row>
    <row r="96" spans="1:12" ht="26.25" customHeight="1" x14ac:dyDescent="0.4">
      <c r="A96" s="255" t="s">
        <v>29</v>
      </c>
      <c r="B96" s="241">
        <v>1</v>
      </c>
      <c r="C96" s="350" t="s">
        <v>30</v>
      </c>
      <c r="D96" s="351">
        <v>18.829999999999998</v>
      </c>
      <c r="E96" s="270"/>
      <c r="F96" s="282">
        <v>20.88</v>
      </c>
    </row>
    <row r="97" spans="1:10" ht="26.25" customHeight="1" x14ac:dyDescent="0.4">
      <c r="A97" s="255" t="s">
        <v>31</v>
      </c>
      <c r="B97" s="241">
        <v>1</v>
      </c>
      <c r="C97" s="352" t="s">
        <v>32</v>
      </c>
      <c r="D97" s="353">
        <f>D96*$B$87</f>
        <v>18.829999999999998</v>
      </c>
      <c r="E97" s="285"/>
      <c r="F97" s="284">
        <f>F96*$B$87</f>
        <v>20.88</v>
      </c>
    </row>
    <row r="98" spans="1:10" ht="19.5" customHeight="1" x14ac:dyDescent="0.3">
      <c r="A98" s="255" t="s">
        <v>33</v>
      </c>
      <c r="B98" s="354">
        <f>(B97/B96)*(B95/B94)*(B93/B92)*(B91/B90)*B89</f>
        <v>20</v>
      </c>
      <c r="C98" s="352" t="s">
        <v>34</v>
      </c>
      <c r="D98" s="355">
        <f>D97*$B$83/100</f>
        <v>18.677477</v>
      </c>
      <c r="E98" s="288"/>
      <c r="F98" s="287">
        <f>F97*$B$83/100</f>
        <v>20.710871999999998</v>
      </c>
    </row>
    <row r="99" spans="1:10" ht="19.5" customHeight="1" x14ac:dyDescent="0.3">
      <c r="A99" s="512" t="s">
        <v>35</v>
      </c>
      <c r="B99" s="526"/>
      <c r="C99" s="352" t="s">
        <v>36</v>
      </c>
      <c r="D99" s="356">
        <f>D98/$B$98</f>
        <v>0.93387385000000001</v>
      </c>
      <c r="E99" s="288"/>
      <c r="F99" s="291">
        <f>F98/$B$98</f>
        <v>1.0355436</v>
      </c>
      <c r="G99" s="357"/>
      <c r="H99" s="280"/>
    </row>
    <row r="100" spans="1:10" ht="19.5" customHeight="1" x14ac:dyDescent="0.3">
      <c r="A100" s="514"/>
      <c r="B100" s="527"/>
      <c r="C100" s="352" t="s">
        <v>94</v>
      </c>
      <c r="D100" s="358">
        <f>2/500</f>
        <v>4.0000000000000001E-3</v>
      </c>
      <c r="F100" s="296"/>
      <c r="G100" s="359"/>
      <c r="H100" s="280"/>
    </row>
    <row r="101" spans="1:10" x14ac:dyDescent="0.3">
      <c r="C101" s="352" t="s">
        <v>37</v>
      </c>
      <c r="D101" s="353">
        <f>D100*$B$98</f>
        <v>0.08</v>
      </c>
      <c r="F101" s="296"/>
      <c r="G101" s="357"/>
      <c r="H101" s="280"/>
    </row>
    <row r="102" spans="1:10" ht="19.5" customHeight="1" x14ac:dyDescent="0.3">
      <c r="C102" s="360" t="s">
        <v>38</v>
      </c>
      <c r="D102" s="361">
        <f>D101/B34</f>
        <v>0.08</v>
      </c>
      <c r="F102" s="300"/>
      <c r="G102" s="357"/>
      <c r="H102" s="280"/>
      <c r="J102" s="362"/>
    </row>
    <row r="103" spans="1:10" x14ac:dyDescent="0.3">
      <c r="C103" s="363" t="s">
        <v>62</v>
      </c>
      <c r="D103" s="364">
        <f>AVERAGE(E91:E94,G91:G94)</f>
        <v>5671.1508572529519</v>
      </c>
      <c r="F103" s="300"/>
      <c r="G103" s="365"/>
      <c r="H103" s="280"/>
      <c r="J103" s="366"/>
    </row>
    <row r="104" spans="1:10" x14ac:dyDescent="0.3">
      <c r="C104" s="330" t="s">
        <v>40</v>
      </c>
      <c r="D104" s="367">
        <f>STDEV(E91:E94,G91:G94)/D103</f>
        <v>1.5842256641306465E-2</v>
      </c>
      <c r="F104" s="300"/>
      <c r="G104" s="357"/>
      <c r="H104" s="280"/>
      <c r="J104" s="366"/>
    </row>
    <row r="105" spans="1:10" ht="19.5" customHeight="1" x14ac:dyDescent="0.3">
      <c r="C105" s="332" t="s">
        <v>41</v>
      </c>
      <c r="D105" s="368">
        <f>COUNT(E91:E94,G91:G94)</f>
        <v>6</v>
      </c>
      <c r="F105" s="300"/>
      <c r="G105" s="357"/>
      <c r="H105" s="280"/>
      <c r="J105" s="366"/>
    </row>
    <row r="106" spans="1:10" ht="19.5" customHeight="1" x14ac:dyDescent="0.3">
      <c r="A106" s="304"/>
      <c r="B106" s="304"/>
      <c r="C106" s="304"/>
      <c r="D106" s="304"/>
      <c r="E106" s="304"/>
    </row>
    <row r="107" spans="1:10" ht="26.25" customHeight="1" x14ac:dyDescent="0.4">
      <c r="A107" s="253" t="s">
        <v>63</v>
      </c>
      <c r="B107" s="254">
        <v>500</v>
      </c>
      <c r="C107" s="369" t="s">
        <v>64</v>
      </c>
      <c r="D107" s="370" t="s">
        <v>21</v>
      </c>
      <c r="E107" s="371" t="s">
        <v>65</v>
      </c>
      <c r="F107" s="372" t="s">
        <v>66</v>
      </c>
    </row>
    <row r="108" spans="1:10" ht="26.25" customHeight="1" x14ac:dyDescent="0.4">
      <c r="A108" s="255" t="s">
        <v>48</v>
      </c>
      <c r="B108" s="256">
        <v>1</v>
      </c>
      <c r="C108" s="373">
        <v>1</v>
      </c>
      <c r="D108" s="374"/>
      <c r="E108" s="409"/>
      <c r="F108" s="375"/>
    </row>
    <row r="109" spans="1:10" ht="26.25" customHeight="1" x14ac:dyDescent="0.4">
      <c r="A109" s="255" t="s">
        <v>50</v>
      </c>
      <c r="B109" s="256">
        <v>1</v>
      </c>
      <c r="C109" s="373">
        <v>2</v>
      </c>
      <c r="D109" s="374"/>
      <c r="E109" s="410"/>
      <c r="F109" s="376"/>
    </row>
    <row r="110" spans="1:10" ht="26.25" customHeight="1" x14ac:dyDescent="0.4">
      <c r="A110" s="255" t="s">
        <v>51</v>
      </c>
      <c r="B110" s="256">
        <v>1</v>
      </c>
      <c r="C110" s="373">
        <v>3</v>
      </c>
      <c r="D110" s="374"/>
      <c r="E110" s="410"/>
      <c r="F110" s="376"/>
    </row>
    <row r="111" spans="1:10" ht="26.25" customHeight="1" x14ac:dyDescent="0.4">
      <c r="A111" s="255" t="s">
        <v>52</v>
      </c>
      <c r="B111" s="256">
        <v>1</v>
      </c>
      <c r="C111" s="373">
        <v>4</v>
      </c>
      <c r="D111" s="374"/>
      <c r="E111" s="410"/>
      <c r="F111" s="376"/>
    </row>
    <row r="112" spans="1:10" ht="26.25" customHeight="1" x14ac:dyDescent="0.4">
      <c r="A112" s="255" t="s">
        <v>53</v>
      </c>
      <c r="B112" s="256">
        <v>1</v>
      </c>
      <c r="C112" s="373">
        <v>5</v>
      </c>
      <c r="D112" s="374"/>
      <c r="E112" s="410"/>
      <c r="F112" s="376"/>
    </row>
    <row r="113" spans="1:10" ht="26.25" customHeight="1" x14ac:dyDescent="0.4">
      <c r="A113" s="255" t="s">
        <v>55</v>
      </c>
      <c r="B113" s="256">
        <v>1</v>
      </c>
      <c r="C113" s="377">
        <v>6</v>
      </c>
      <c r="D113" s="378"/>
      <c r="E113" s="411"/>
      <c r="F113" s="379"/>
    </row>
    <row r="114" spans="1:10" ht="26.25" customHeight="1" x14ac:dyDescent="0.4">
      <c r="A114" s="255" t="s">
        <v>56</v>
      </c>
      <c r="B114" s="256">
        <v>1</v>
      </c>
      <c r="C114" s="373"/>
      <c r="D114" s="327"/>
      <c r="E114" s="229"/>
      <c r="F114" s="380"/>
    </row>
    <row r="115" spans="1:10" ht="26.25" customHeight="1" x14ac:dyDescent="0.4">
      <c r="A115" s="255" t="s">
        <v>57</v>
      </c>
      <c r="B115" s="256">
        <v>1</v>
      </c>
      <c r="C115" s="373"/>
      <c r="D115" s="381"/>
      <c r="E115" s="382" t="s">
        <v>28</v>
      </c>
      <c r="F115" s="383" t="e">
        <f>AVERAGE(F108:F113)</f>
        <v>#DIV/0!</v>
      </c>
    </row>
    <row r="116" spans="1:10" ht="27" customHeight="1" x14ac:dyDescent="0.4">
      <c r="A116" s="255" t="s">
        <v>58</v>
      </c>
      <c r="B116" s="286">
        <f>(B115/B114)*(B113/B112)*(B111/B110)*(B109/B108)*B107</f>
        <v>500</v>
      </c>
      <c r="C116" s="384"/>
      <c r="D116" s="385"/>
      <c r="E116" s="346" t="s">
        <v>40</v>
      </c>
      <c r="F116" s="386" t="e">
        <f>STDEV(F108:F113)/F115</f>
        <v>#DIV/0!</v>
      </c>
      <c r="I116" s="229"/>
    </row>
    <row r="117" spans="1:10" ht="27" customHeight="1" x14ac:dyDescent="0.4">
      <c r="A117" s="512" t="s">
        <v>35</v>
      </c>
      <c r="B117" s="513"/>
      <c r="C117" s="387"/>
      <c r="D117" s="388"/>
      <c r="E117" s="389" t="s">
        <v>41</v>
      </c>
      <c r="F117" s="390">
        <f>COUNT(F108:F113)</f>
        <v>0</v>
      </c>
      <c r="I117" s="229"/>
      <c r="J117" s="366"/>
    </row>
    <row r="118" spans="1:10" ht="19.5" customHeight="1" x14ac:dyDescent="0.3">
      <c r="A118" s="514"/>
      <c r="B118" s="515"/>
      <c r="C118" s="229"/>
      <c r="D118" s="229"/>
      <c r="E118" s="229"/>
      <c r="F118" s="327"/>
      <c r="G118" s="229"/>
      <c r="H118" s="229"/>
      <c r="I118" s="229"/>
    </row>
    <row r="119" spans="1:10" x14ac:dyDescent="0.3">
      <c r="A119" s="399"/>
      <c r="B119" s="251"/>
      <c r="C119" s="229"/>
      <c r="D119" s="229"/>
      <c r="E119" s="229"/>
      <c r="F119" s="327"/>
      <c r="G119" s="229"/>
      <c r="H119" s="229"/>
      <c r="I119" s="229"/>
    </row>
    <row r="120" spans="1:10" ht="26.25" customHeight="1" x14ac:dyDescent="0.4">
      <c r="A120" s="239" t="s">
        <v>99</v>
      </c>
      <c r="B120" s="334" t="s">
        <v>105</v>
      </c>
      <c r="C120" s="524" t="str">
        <f>B20</f>
        <v>Glimepiride 2mg, Metformin HCl 500mg</v>
      </c>
      <c r="D120" s="524"/>
      <c r="E120" s="335" t="s">
        <v>106</v>
      </c>
      <c r="F120" s="335"/>
      <c r="G120" s="336"/>
      <c r="H120" s="229"/>
      <c r="I120" s="229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x14ac:dyDescent="0.3">
      <c r="B122" s="525" t="s">
        <v>67</v>
      </c>
      <c r="C122" s="525"/>
      <c r="E122" s="341" t="s">
        <v>68</v>
      </c>
      <c r="F122" s="393"/>
      <c r="G122" s="525" t="s">
        <v>69</v>
      </c>
      <c r="H122" s="525"/>
    </row>
    <row r="123" spans="1:10" ht="69.95" customHeight="1" x14ac:dyDescent="0.3">
      <c r="A123" s="394" t="s">
        <v>70</v>
      </c>
      <c r="B123" s="395"/>
      <c r="C123" s="395"/>
      <c r="E123" s="395"/>
      <c r="F123" s="229"/>
      <c r="G123" s="396"/>
      <c r="H123" s="396"/>
    </row>
    <row r="124" spans="1:10" ht="69.95" customHeight="1" x14ac:dyDescent="0.3">
      <c r="A124" s="394" t="s">
        <v>71</v>
      </c>
      <c r="B124" s="397"/>
      <c r="C124" s="397"/>
      <c r="E124" s="397"/>
      <c r="F124" s="229"/>
      <c r="G124" s="398"/>
      <c r="H124" s="398"/>
    </row>
    <row r="125" spans="1:10" x14ac:dyDescent="0.3">
      <c r="A125" s="326"/>
      <c r="B125" s="326"/>
      <c r="C125" s="327"/>
      <c r="D125" s="327"/>
      <c r="E125" s="327"/>
      <c r="F125" s="331"/>
      <c r="G125" s="327"/>
      <c r="H125" s="327"/>
      <c r="I125" s="229"/>
    </row>
    <row r="126" spans="1:10" x14ac:dyDescent="0.3">
      <c r="A126" s="326"/>
      <c r="B126" s="326"/>
      <c r="C126" s="327"/>
      <c r="D126" s="327"/>
      <c r="E126" s="327"/>
      <c r="F126" s="331"/>
      <c r="G126" s="327"/>
      <c r="H126" s="327"/>
      <c r="I126" s="229"/>
    </row>
    <row r="127" spans="1:10" x14ac:dyDescent="0.3">
      <c r="A127" s="326"/>
      <c r="B127" s="326"/>
      <c r="C127" s="327"/>
      <c r="D127" s="327"/>
      <c r="E127" s="327"/>
      <c r="F127" s="331"/>
      <c r="G127" s="327"/>
      <c r="H127" s="327"/>
      <c r="I127" s="229"/>
    </row>
    <row r="128" spans="1:10" x14ac:dyDescent="0.3">
      <c r="A128" s="326"/>
      <c r="B128" s="326"/>
      <c r="C128" s="327"/>
      <c r="D128" s="327"/>
      <c r="E128" s="327"/>
      <c r="F128" s="331"/>
      <c r="G128" s="327"/>
      <c r="H128" s="327"/>
      <c r="I128" s="229"/>
    </row>
    <row r="129" spans="1:9" x14ac:dyDescent="0.3">
      <c r="A129" s="326"/>
      <c r="B129" s="326"/>
      <c r="C129" s="327"/>
      <c r="D129" s="327"/>
      <c r="E129" s="327"/>
      <c r="F129" s="331"/>
      <c r="G129" s="327"/>
      <c r="H129" s="327"/>
      <c r="I129" s="229"/>
    </row>
    <row r="130" spans="1:9" x14ac:dyDescent="0.3">
      <c r="A130" s="326"/>
      <c r="B130" s="326"/>
      <c r="C130" s="327"/>
      <c r="D130" s="327"/>
      <c r="E130" s="327"/>
      <c r="F130" s="331"/>
      <c r="G130" s="327"/>
      <c r="H130" s="327"/>
      <c r="I130" s="229"/>
    </row>
    <row r="131" spans="1:9" x14ac:dyDescent="0.3">
      <c r="A131" s="326"/>
      <c r="B131" s="326"/>
      <c r="C131" s="327"/>
      <c r="D131" s="327"/>
      <c r="E131" s="327"/>
      <c r="F131" s="331"/>
      <c r="G131" s="327"/>
      <c r="H131" s="327"/>
      <c r="I131" s="229"/>
    </row>
    <row r="132" spans="1:9" x14ac:dyDescent="0.3">
      <c r="A132" s="326"/>
      <c r="B132" s="326"/>
      <c r="C132" s="327"/>
      <c r="D132" s="327"/>
      <c r="E132" s="327"/>
      <c r="F132" s="331"/>
      <c r="G132" s="327"/>
      <c r="H132" s="327"/>
      <c r="I132" s="229"/>
    </row>
    <row r="133" spans="1:9" x14ac:dyDescent="0.3">
      <c r="A133" s="326"/>
      <c r="B133" s="326"/>
      <c r="C133" s="327"/>
      <c r="D133" s="327"/>
      <c r="E133" s="327"/>
      <c r="F133" s="331"/>
      <c r="G133" s="327"/>
      <c r="H133" s="327"/>
      <c r="I133" s="229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Uniformity</vt:lpstr>
      <vt:lpstr>Glimepriride SST</vt:lpstr>
      <vt:lpstr>Metformin HCl SST </vt:lpstr>
      <vt:lpstr>Glimepriride</vt:lpstr>
      <vt:lpstr>Glimepriride (Diss 2)</vt:lpstr>
      <vt:lpstr>Metformin HCl</vt:lpstr>
      <vt:lpstr>Glimepriride!Print_Area</vt:lpstr>
      <vt:lpstr>'Glimepriride (Diss 2)'!Print_Area</vt:lpstr>
      <vt:lpstr>'Glimepriride SST'!Print_Area</vt:lpstr>
      <vt:lpstr>'Metformin HCl'!Print_Area</vt:lpstr>
      <vt:lpstr>'Metformin HCl SST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2018-03-13T12:45:21Z</cp:lastPrinted>
  <dcterms:created xsi:type="dcterms:W3CDTF">2005-07-05T10:19:27Z</dcterms:created>
  <dcterms:modified xsi:type="dcterms:W3CDTF">2018-03-13T12:47:20Z</dcterms:modified>
</cp:coreProperties>
</file>