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2" r:id="rId1"/>
    <sheet name="Clopidogrel" sheetId="2" r:id="rId2"/>
    <sheet name="SST (2)" sheetId="13" r:id="rId3"/>
    <sheet name="Aspirin" sheetId="5" r:id="rId4"/>
    <sheet name="Uniformity" sheetId="7" r:id="rId5"/>
  </sheets>
  <definedNames>
    <definedName name="_xlnm.Print_Area" localSheetId="0">SST!$A$1:$G$61</definedName>
    <definedName name="_xlnm.Print_Area" localSheetId="2">'SST (2)'!$A$1:$G$61</definedName>
    <definedName name="_xlnm.Print_Area" localSheetId="4">Uniformity!$A$1:$F$54</definedName>
  </definedNames>
  <calcPr calcId="145621"/>
</workbook>
</file>

<file path=xl/calcChain.xml><?xml version="1.0" encoding="utf-8"?>
<calcChain xmlns="http://schemas.openxmlformats.org/spreadsheetml/2006/main">
  <c r="F112" i="2" l="1"/>
  <c r="F110" i="2"/>
  <c r="F108" i="2"/>
  <c r="F112" i="5"/>
  <c r="F110" i="5"/>
  <c r="F108" i="5"/>
  <c r="H70" i="5"/>
  <c r="H60" i="2"/>
  <c r="H60" i="5"/>
  <c r="B69" i="2"/>
  <c r="B34" i="2"/>
  <c r="B57" i="5"/>
  <c r="B45" i="5"/>
  <c r="B21" i="13"/>
  <c r="B21" i="12"/>
  <c r="B53" i="13"/>
  <c r="E51" i="13"/>
  <c r="D51" i="13"/>
  <c r="C51" i="13"/>
  <c r="B51" i="13"/>
  <c r="B52" i="13" s="1"/>
  <c r="B32" i="13"/>
  <c r="E30" i="13"/>
  <c r="D30" i="13"/>
  <c r="C30" i="13"/>
  <c r="B30" i="13"/>
  <c r="B31" i="13" s="1"/>
  <c r="B57" i="2"/>
  <c r="B30" i="2"/>
  <c r="B53" i="12"/>
  <c r="E51" i="12"/>
  <c r="D51" i="12"/>
  <c r="C51" i="12"/>
  <c r="B51" i="12"/>
  <c r="B52" i="12" s="1"/>
  <c r="B32" i="12"/>
  <c r="E30" i="12"/>
  <c r="D30" i="12"/>
  <c r="C30" i="12"/>
  <c r="B30" i="12"/>
  <c r="B31" i="12" s="1"/>
  <c r="B30" i="5" l="1"/>
  <c r="D50" i="7"/>
  <c r="C49" i="7"/>
  <c r="B49" i="7"/>
  <c r="C46" i="7"/>
  <c r="C45" i="7"/>
  <c r="D43" i="7"/>
  <c r="D42" i="7"/>
  <c r="D41" i="7"/>
  <c r="D39" i="7"/>
  <c r="D38" i="7"/>
  <c r="D37" i="7"/>
  <c r="D35" i="7"/>
  <c r="D34" i="7"/>
  <c r="D33" i="7"/>
  <c r="D31" i="7"/>
  <c r="D30" i="7"/>
  <c r="D29" i="7"/>
  <c r="D27" i="7"/>
  <c r="D26" i="7"/>
  <c r="D25" i="7"/>
  <c r="C19" i="7"/>
  <c r="C120" i="5"/>
  <c r="B116" i="5"/>
  <c r="D100" i="5"/>
  <c r="B98" i="5"/>
  <c r="F95" i="5"/>
  <c r="D95" i="5"/>
  <c r="G94" i="5"/>
  <c r="E94" i="5"/>
  <c r="B87" i="5"/>
  <c r="D97" i="5" s="1"/>
  <c r="B81" i="5"/>
  <c r="B83" i="5" s="1"/>
  <c r="B80" i="5"/>
  <c r="B79" i="5"/>
  <c r="C76" i="5"/>
  <c r="H71" i="5"/>
  <c r="G71" i="5"/>
  <c r="B68" i="5"/>
  <c r="B69" i="5" s="1"/>
  <c r="H63" i="5"/>
  <c r="G63" i="5"/>
  <c r="C56" i="5"/>
  <c r="B55" i="5"/>
  <c r="D48" i="5"/>
  <c r="G38" i="5" s="1"/>
  <c r="F42" i="5"/>
  <c r="D42" i="5"/>
  <c r="G41" i="5"/>
  <c r="E41" i="5"/>
  <c r="B34" i="5"/>
  <c r="C120" i="2"/>
  <c r="B116" i="2"/>
  <c r="D100" i="2"/>
  <c r="B98" i="2"/>
  <c r="F95" i="2"/>
  <c r="D95" i="2"/>
  <c r="G94" i="2"/>
  <c r="E94" i="2"/>
  <c r="B87" i="2"/>
  <c r="F97" i="2" s="1"/>
  <c r="B81" i="2"/>
  <c r="B83" i="2" s="1"/>
  <c r="B80" i="2"/>
  <c r="B79" i="2"/>
  <c r="C76" i="2"/>
  <c r="H71" i="2"/>
  <c r="G71" i="2"/>
  <c r="B68" i="2"/>
  <c r="G67" i="2"/>
  <c r="G65" i="2"/>
  <c r="H63" i="2"/>
  <c r="G63" i="2"/>
  <c r="C56" i="2"/>
  <c r="B55" i="2"/>
  <c r="B45" i="2"/>
  <c r="D48" i="2" s="1"/>
  <c r="F42" i="2"/>
  <c r="D42" i="2"/>
  <c r="G41" i="2"/>
  <c r="E41" i="2"/>
  <c r="F44" i="2"/>
  <c r="I92" i="2" l="1"/>
  <c r="D101" i="2"/>
  <c r="E38" i="5"/>
  <c r="D101" i="5"/>
  <c r="I92" i="5"/>
  <c r="D49" i="5"/>
  <c r="E38" i="2"/>
  <c r="G38" i="2"/>
  <c r="E39" i="5"/>
  <c r="E40" i="5"/>
  <c r="G40" i="5"/>
  <c r="G39" i="5"/>
  <c r="D49" i="2"/>
  <c r="G64" i="2"/>
  <c r="G66" i="2"/>
  <c r="I39" i="2"/>
  <c r="F45" i="2"/>
  <c r="F98" i="2"/>
  <c r="D98" i="5"/>
  <c r="D97" i="2"/>
  <c r="D98" i="2" s="1"/>
  <c r="F44" i="5"/>
  <c r="F45" i="5" s="1"/>
  <c r="F46" i="5" s="1"/>
  <c r="D44" i="5"/>
  <c r="D45" i="5" s="1"/>
  <c r="D46" i="5" s="1"/>
  <c r="D44" i="2"/>
  <c r="D45" i="2" s="1"/>
  <c r="I39" i="5"/>
  <c r="F97" i="5"/>
  <c r="F98" i="5" s="1"/>
  <c r="C50" i="7"/>
  <c r="D24" i="7"/>
  <c r="D28" i="7"/>
  <c r="D32" i="7"/>
  <c r="D36" i="7"/>
  <c r="D40" i="7"/>
  <c r="D49" i="7"/>
  <c r="G91" i="2" l="1"/>
  <c r="D102" i="2"/>
  <c r="F99" i="2"/>
  <c r="G93" i="2"/>
  <c r="G92" i="2"/>
  <c r="D99" i="2"/>
  <c r="E92" i="2"/>
  <c r="E93" i="2"/>
  <c r="E91" i="2"/>
  <c r="E42" i="5"/>
  <c r="D102" i="5"/>
  <c r="G91" i="5"/>
  <c r="E91" i="5"/>
  <c r="F99" i="5"/>
  <c r="G92" i="5"/>
  <c r="G93" i="5"/>
  <c r="D99" i="5"/>
  <c r="E93" i="5"/>
  <c r="E92" i="5"/>
  <c r="D52" i="5"/>
  <c r="D50" i="5"/>
  <c r="G60" i="5" s="1"/>
  <c r="G42" i="5"/>
  <c r="F46" i="2"/>
  <c r="G40" i="2"/>
  <c r="G39" i="2"/>
  <c r="D46" i="2"/>
  <c r="E39" i="2"/>
  <c r="E40" i="2"/>
  <c r="G95" i="2" l="1"/>
  <c r="D105" i="2"/>
  <c r="E95" i="2"/>
  <c r="D103" i="2"/>
  <c r="G95" i="5"/>
  <c r="E95" i="5"/>
  <c r="D103" i="5"/>
  <c r="D105" i="5"/>
  <c r="D51" i="5"/>
  <c r="G68" i="5"/>
  <c r="H68" i="5" s="1"/>
  <c r="G62" i="5"/>
  <c r="H62" i="5" s="1"/>
  <c r="G70" i="5"/>
  <c r="G61" i="5"/>
  <c r="H61" i="5" s="1"/>
  <c r="G69" i="5"/>
  <c r="H69" i="5" s="1"/>
  <c r="G42" i="2"/>
  <c r="D50" i="2"/>
  <c r="D52" i="2"/>
  <c r="E42" i="2"/>
  <c r="D104" i="2" l="1"/>
  <c r="E113" i="2"/>
  <c r="F113" i="2" s="1"/>
  <c r="E110" i="2"/>
  <c r="E112" i="2"/>
  <c r="E109" i="2"/>
  <c r="F109" i="2" s="1"/>
  <c r="E111" i="2"/>
  <c r="F111" i="2" s="1"/>
  <c r="E108" i="2"/>
  <c r="D104" i="5"/>
  <c r="E111" i="5"/>
  <c r="F111" i="5" s="1"/>
  <c r="E109" i="5"/>
  <c r="F109" i="5" s="1"/>
  <c r="E110" i="5"/>
  <c r="E112" i="5"/>
  <c r="E108" i="5"/>
  <c r="E113" i="5"/>
  <c r="F113" i="5" s="1"/>
  <c r="H74" i="5"/>
  <c r="H72" i="5"/>
  <c r="G76" i="5" s="1"/>
  <c r="D51" i="2"/>
  <c r="G62" i="2"/>
  <c r="H62" i="2" s="1"/>
  <c r="G69" i="2"/>
  <c r="H69" i="2" s="1"/>
  <c r="G61" i="2"/>
  <c r="H61" i="2" s="1"/>
  <c r="G68" i="2"/>
  <c r="H68" i="2" s="1"/>
  <c r="G60" i="2"/>
  <c r="G70" i="2"/>
  <c r="H70" i="2" s="1"/>
  <c r="F115" i="2" l="1"/>
  <c r="F117" i="2"/>
  <c r="F115" i="5"/>
  <c r="G120" i="5" s="1"/>
  <c r="F117" i="5"/>
  <c r="H73" i="5"/>
  <c r="H74" i="2"/>
  <c r="H72" i="2"/>
  <c r="G76" i="2" s="1"/>
  <c r="F116" i="5" l="1"/>
  <c r="F116" i="2"/>
  <c r="G120" i="2"/>
  <c r="H73" i="2"/>
</calcChain>
</file>

<file path=xl/sharedStrings.xml><?xml version="1.0" encoding="utf-8"?>
<sst xmlns="http://schemas.openxmlformats.org/spreadsheetml/2006/main" count="434" uniqueCount="132">
  <si>
    <t>Analysis Report</t>
  </si>
  <si>
    <t>Sample Name:</t>
  </si>
  <si>
    <t>NOCLOT-EA</t>
  </si>
  <si>
    <t>Laboratory Ref No:</t>
  </si>
  <si>
    <t>NDQD201410911</t>
  </si>
  <si>
    <t>Active Ingredient:</t>
  </si>
  <si>
    <t>Clopidogrel Hydrogen Sulfate 75mg,Aspirin BP 75mg</t>
  </si>
  <si>
    <t>Label Claim:</t>
  </si>
  <si>
    <t>Date Analysis Started:</t>
  </si>
  <si>
    <t>2014-10-31 10:05:45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</si>
  <si>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</si>
  <si>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</si>
  <si>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</si>
  <si>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</si>
  <si>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</si>
  <si>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</si>
  <si>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</si>
  <si>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</si>
  <si>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</si>
  <si>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>Mwt of compound in salt form: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</si>
  <si>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</si>
  <si>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</si>
  <si>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</si>
  <si>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</si>
  <si>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</si>
  <si>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</si>
  <si>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</si>
  <si>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</si>
  <si>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</si>
  <si>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</si>
  <si>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</si>
  <si>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</si>
  <si>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</si>
  <si>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</si>
  <si>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</si>
  <si>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</si>
  <si>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</si>
  <si>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</si>
  <si>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</si>
  <si>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</si>
  <si>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</si>
  <si>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</si>
  <si>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</si>
  <si>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</si>
  <si>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</si>
  <si>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</si>
  <si>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</si>
  <si>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</si>
  <si>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</si>
  <si>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</si>
  <si>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</si>
  <si>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</si>
  <si>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</si>
  <si>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</si>
  <si>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</si>
  <si>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</si>
  <si>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</si>
  <si>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</si>
  <si>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</si>
  <si>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</si>
  <si>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</si>
  <si>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</si>
  <si>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</si>
  <si>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</si>
  <si>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</si>
  <si>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</si>
  <si>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</si>
  <si>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</si>
  <si>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</si>
  <si>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</si>
  <si>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</si>
  <si>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</si>
  <si>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</si>
  <si>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</si>
  <si>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</si>
  <si>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</si>
  <si>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</si>
  <si>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Clopidogrel Bisulphate</t>
  </si>
  <si>
    <t xml:space="preserve">Enter molecular mass of compound in free base form. If salt conversion is NOT needed, enter 1. </t>
  </si>
  <si>
    <t xml:space="preserve">Enter molecular mass of compound in salt form. If salt conversion is NOT needed, enter 1. </t>
  </si>
  <si>
    <t>Initial Standard dilution volume (mL):</t>
  </si>
  <si>
    <t xml:space="preserve">Std Response Deviation </t>
  </si>
  <si>
    <t>Mass of RS (mg):</t>
  </si>
  <si>
    <t>Mass of WRS as free base (mg):</t>
  </si>
  <si>
    <t>Purity correction (mg):</t>
  </si>
  <si>
    <t>Concentration (mg/mL):</t>
  </si>
  <si>
    <t>Desired Concentration (mg/mL):</t>
  </si>
  <si>
    <t>Each Capsule contains</t>
  </si>
  <si>
    <t>Average Capsule Content Weight (mg):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</si>
  <si>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</si>
  <si>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</si>
  <si>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Comment:</t>
  </si>
  <si>
    <t xml:space="preserve">The content of </t>
  </si>
  <si>
    <t xml:space="preserve">in the sample as a percentage of the stated  label claim is </t>
  </si>
  <si>
    <t>DISSOLUTION: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</si>
  <si>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</si>
  <si>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</si>
  <si>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</si>
  <si>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</si>
  <si>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</si>
  <si>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</si>
  <si>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</si>
  <si>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</si>
  <si>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</si>
  <si>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Average</t>
  </si>
  <si>
    <t>% Deviation from mean</t>
  </si>
  <si>
    <t>Aspirin</t>
  </si>
  <si>
    <t>NQCL-PRS-A14-2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</si>
  <si>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</si>
  <si>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</si>
  <si>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</si>
  <si>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</si>
  <si>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</si>
  <si>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</si>
  <si>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</si>
  <si>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</si>
  <si>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</si>
  <si>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</si>
  <si>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</si>
  <si>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</si>
  <si>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</si>
  <si>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</si>
  <si>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</si>
  <si>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</si>
  <si>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</si>
  <si>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Noclot EA</t>
  </si>
  <si>
    <t>Clopidogrel Bisulfate</t>
  </si>
  <si>
    <t>Michael Bugigi</t>
  </si>
  <si>
    <t>Clopidogrel Hydrogen Sulfate 75mg</t>
  </si>
  <si>
    <t>NQCL-WRS-C13-2</t>
  </si>
  <si>
    <t>Clopidogrel</t>
  </si>
  <si>
    <t>Aspirin BP 75mg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</si>
</sst>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00"/>
    <numFmt numFmtId="167" formatCode="0.0000"/>
    <numFmt numFmtId="168" formatCode="0.0%"/>
    <numFmt numFmtId="169" formatCode="dd\-mmm\-yyyy"/>
    <numFmt numFmtId="170" formatCode="0.0\ &quot;mg&quot;"/>
    <numFmt numFmtId="171" formatCode="0.00000"/>
    <numFmt numFmtId="172" formatCode="[$-409]d/mmm/yy;@"/>
  </numFmts>
  <fonts count="24" x14ac:knownFonts="1">
    <font>
      <sz val="10"/>
      <color rgb="FF000000"/>
      <name val="Arial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14"/>
      <color rgb="FF000000"/>
      <name val="Arial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0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u/>
      <sz val="16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Arial"/>
    </font>
    <font>
      <b/>
      <i/>
      <sz val="10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1"/>
      <color rgb="FF000000"/>
      <name val="Book Antiqua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6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1" fillId="2" borderId="0"/>
    <xf numFmtId="0" fontId="23" fillId="2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7" fillId="2" borderId="0" xfId="0" applyFont="1" applyFill="1"/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69" fontId="11" fillId="5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0" fillId="5" borderId="0" xfId="0" applyFont="1" applyFill="1" applyAlignment="1" applyProtection="1">
      <alignment horizontal="center"/>
      <protection locked="0"/>
    </xf>
    <xf numFmtId="0" fontId="11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0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0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0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0" fillId="5" borderId="40" xfId="0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0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0" fillId="5" borderId="9" xfId="0" applyFont="1" applyFill="1" applyBorder="1" applyAlignment="1" applyProtection="1">
      <alignment horizontal="center"/>
      <protection locked="0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0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3" borderId="12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3" borderId="13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right"/>
    </xf>
    <xf numFmtId="167" fontId="10" fillId="5" borderId="12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0" fontId="10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0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0" fillId="5" borderId="29" xfId="0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/>
    </xf>
    <xf numFmtId="10" fontId="2" fillId="2" borderId="4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0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8" fontId="10" fillId="3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8" fontId="1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0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6" fontId="10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0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7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7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0" fillId="5" borderId="24" xfId="0" applyNumberFormat="1" applyFont="1" applyFill="1" applyBorder="1" applyAlignment="1" applyProtection="1">
      <alignment horizontal="center"/>
      <protection locked="0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0" fillId="5" borderId="25" xfId="0" applyNumberFormat="1" applyFont="1" applyFill="1" applyBorder="1" applyAlignment="1" applyProtection="1">
      <alignment horizontal="center"/>
      <protection locked="0"/>
    </xf>
    <xf numFmtId="2" fontId="2" fillId="2" borderId="25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10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0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0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0" fontId="2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11" fillId="5" borderId="0" xfId="0" applyFont="1" applyFill="1" applyAlignment="1" applyProtection="1">
      <alignment horizontal="left"/>
      <protection locked="0"/>
    </xf>
    <xf numFmtId="0" fontId="2" fillId="5" borderId="0" xfId="0" applyFont="1" applyFill="1" applyProtection="1">
      <protection locked="0"/>
    </xf>
    <xf numFmtId="169" fontId="11" fillId="5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0" fillId="5" borderId="0" xfId="0" applyFont="1" applyFill="1" applyAlignment="1" applyProtection="1">
      <alignment horizontal="center"/>
      <protection locked="0"/>
    </xf>
    <xf numFmtId="0" fontId="11" fillId="5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/>
    </xf>
    <xf numFmtId="0" fontId="6" fillId="2" borderId="0" xfId="0" applyFont="1" applyFill="1"/>
    <xf numFmtId="0" fontId="7" fillId="2" borderId="0" xfId="0" applyFont="1" applyFill="1"/>
    <xf numFmtId="2" fontId="10" fillId="5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vertical="center" wrapText="1"/>
    </xf>
    <xf numFmtId="0" fontId="4" fillId="2" borderId="0" xfId="0" applyFont="1" applyFill="1"/>
    <xf numFmtId="2" fontId="3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10" fillId="5" borderId="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right"/>
    </xf>
    <xf numFmtId="0" fontId="10" fillId="5" borderId="3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0" fillId="5" borderId="40" xfId="0" applyFont="1" applyFill="1" applyBorder="1" applyAlignment="1" applyProtection="1">
      <alignment horizontal="center"/>
      <protection locked="0"/>
    </xf>
    <xf numFmtId="166" fontId="2" fillId="2" borderId="23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2" fillId="2" borderId="3" xfId="0" applyFont="1" applyFill="1" applyBorder="1" applyAlignment="1">
      <alignment horizontal="center"/>
    </xf>
    <xf numFmtId="0" fontId="10" fillId="5" borderId="2" xfId="0" applyFont="1" applyFill="1" applyBorder="1" applyAlignment="1" applyProtection="1">
      <alignment horizontal="center"/>
      <protection locked="0"/>
    </xf>
    <xf numFmtId="166" fontId="2" fillId="2" borderId="24" xfId="0" applyNumberFormat="1" applyFont="1" applyFill="1" applyBorder="1" applyAlignment="1">
      <alignment horizontal="center"/>
    </xf>
    <xf numFmtId="166" fontId="2" fillId="2" borderId="37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8" xfId="0" applyFont="1" applyFill="1" applyBorder="1" applyAlignment="1">
      <alignment horizontal="center"/>
    </xf>
    <xf numFmtId="0" fontId="10" fillId="5" borderId="9" xfId="0" applyFont="1" applyFill="1" applyBorder="1" applyAlignment="1" applyProtection="1">
      <alignment horizontal="center"/>
      <protection locked="0"/>
    </xf>
    <xf numFmtId="166" fontId="2" fillId="2" borderId="25" xfId="0" applyNumberFormat="1" applyFont="1" applyFill="1" applyBorder="1" applyAlignment="1">
      <alignment horizontal="center"/>
    </xf>
    <xf numFmtId="166" fontId="2" fillId="2" borderId="38" xfId="0" applyNumberFormat="1" applyFont="1" applyFill="1" applyBorder="1" applyAlignment="1">
      <alignment horizontal="center"/>
    </xf>
    <xf numFmtId="0" fontId="2" fillId="2" borderId="17" xfId="0" applyFont="1" applyFill="1" applyBorder="1"/>
    <xf numFmtId="0" fontId="2" fillId="2" borderId="3" xfId="0" applyFont="1" applyFill="1" applyBorder="1" applyAlignment="1">
      <alignment horizontal="right"/>
    </xf>
    <xf numFmtId="1" fontId="3" fillId="3" borderId="10" xfId="0" applyNumberFormat="1" applyFont="1" applyFill="1" applyBorder="1" applyAlignment="1">
      <alignment horizontal="center"/>
    </xf>
    <xf numFmtId="166" fontId="3" fillId="3" borderId="20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2" fillId="2" borderId="36" xfId="0" applyFont="1" applyFill="1" applyBorder="1" applyAlignment="1">
      <alignment horizontal="right"/>
    </xf>
    <xf numFmtId="0" fontId="10" fillId="5" borderId="41" xfId="0" applyFont="1" applyFill="1" applyBorder="1" applyAlignment="1" applyProtection="1">
      <alignment horizontal="center"/>
      <protection locked="0"/>
    </xf>
    <xf numFmtId="0" fontId="2" fillId="2" borderId="42" xfId="0" applyFont="1" applyFill="1" applyBorder="1" applyAlignment="1">
      <alignment horizontal="right"/>
    </xf>
    <xf numFmtId="2" fontId="2" fillId="3" borderId="1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2" fontId="2" fillId="4" borderId="1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3" borderId="12" xfId="0" applyNumberFormat="1" applyFont="1" applyFill="1" applyBorder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7" fontId="2" fillId="3" borderId="13" xfId="0" applyNumberFormat="1" applyFont="1" applyFill="1" applyBorder="1" applyAlignment="1">
      <alignment horizontal="center"/>
    </xf>
    <xf numFmtId="0" fontId="2" fillId="2" borderId="57" xfId="0" applyFont="1" applyFill="1" applyBorder="1" applyAlignment="1">
      <alignment horizontal="right"/>
    </xf>
    <xf numFmtId="167" fontId="10" fillId="5" borderId="12" xfId="0" applyNumberFormat="1" applyFont="1" applyFill="1" applyBorder="1" applyAlignment="1" applyProtection="1">
      <alignment horizontal="center"/>
      <protection locked="0"/>
    </xf>
    <xf numFmtId="167" fontId="2" fillId="2" borderId="0" xfId="0" applyNumberFormat="1" applyFont="1" applyFill="1"/>
    <xf numFmtId="0" fontId="2" fillId="2" borderId="40" xfId="0" applyFont="1" applyFill="1" applyBorder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2" fillId="2" borderId="17" xfId="0" applyFont="1" applyFill="1" applyBorder="1" applyAlignment="1">
      <alignment horizontal="right"/>
    </xf>
    <xf numFmtId="2" fontId="2" fillId="3" borderId="17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3" borderId="12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right"/>
    </xf>
    <xf numFmtId="0" fontId="2" fillId="4" borderId="17" xfId="0" applyFont="1" applyFill="1" applyBorder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70" fontId="10" fillId="5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10" fillId="5" borderId="1" xfId="0" applyFont="1" applyFill="1" applyBorder="1" applyAlignment="1" applyProtection="1">
      <alignment horizontal="center"/>
      <protection locked="0"/>
    </xf>
    <xf numFmtId="2" fontId="2" fillId="2" borderId="1" xfId="0" applyNumberFormat="1" applyFont="1" applyFill="1" applyBorder="1" applyAlignment="1">
      <alignment horizontal="center"/>
    </xf>
    <xf numFmtId="10" fontId="2" fillId="2" borderId="15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 vertical="center"/>
    </xf>
    <xf numFmtId="1" fontId="10" fillId="5" borderId="2" xfId="0" applyNumberFormat="1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>
      <alignment horizontal="center"/>
    </xf>
    <xf numFmtId="0" fontId="10" fillId="5" borderId="29" xfId="0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 vertical="center"/>
    </xf>
    <xf numFmtId="2" fontId="2" fillId="2" borderId="16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 vertical="center"/>
    </xf>
    <xf numFmtId="2" fontId="2" fillId="2" borderId="17" xfId="0" applyNumberFormat="1" applyFont="1" applyFill="1" applyBorder="1" applyAlignment="1">
      <alignment horizontal="center"/>
    </xf>
    <xf numFmtId="10" fontId="2" fillId="2" borderId="43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2" fillId="2" borderId="17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right"/>
    </xf>
    <xf numFmtId="10" fontId="10" fillId="4" borderId="8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right"/>
    </xf>
    <xf numFmtId="168" fontId="10" fillId="3" borderId="1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13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168" fontId="10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0" fillId="5" borderId="0" xfId="0" applyFont="1" applyFill="1" applyAlignment="1" applyProtection="1">
      <alignment horizontal="center"/>
      <protection locked="0"/>
    </xf>
    <xf numFmtId="0" fontId="3" fillId="2" borderId="21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166" fontId="10" fillId="5" borderId="9" xfId="0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right"/>
    </xf>
    <xf numFmtId="1" fontId="3" fillId="3" borderId="50" xfId="0" applyNumberFormat="1" applyFont="1" applyFill="1" applyBorder="1" applyAlignment="1">
      <alignment horizontal="center"/>
    </xf>
    <xf numFmtId="1" fontId="3" fillId="3" borderId="33" xfId="0" applyNumberFormat="1" applyFont="1" applyFill="1" applyBorder="1" applyAlignment="1">
      <alignment horizontal="center"/>
    </xf>
    <xf numFmtId="166" fontId="3" fillId="3" borderId="17" xfId="0" applyNumberFormat="1" applyFont="1" applyFill="1" applyBorder="1" applyAlignment="1">
      <alignment horizontal="center"/>
    </xf>
    <xf numFmtId="0" fontId="2" fillId="2" borderId="48" xfId="0" applyFont="1" applyFill="1" applyBorder="1" applyAlignment="1">
      <alignment horizontal="right"/>
    </xf>
    <xf numFmtId="0" fontId="10" fillId="5" borderId="49" xfId="0" applyFont="1" applyFill="1" applyBorder="1" applyAlignment="1" applyProtection="1">
      <alignment horizontal="center"/>
      <protection locked="0"/>
    </xf>
    <xf numFmtId="0" fontId="2" fillId="2" borderId="5" xfId="0" applyFont="1" applyFill="1" applyBorder="1" applyAlignment="1">
      <alignment horizontal="right"/>
    </xf>
    <xf numFmtId="2" fontId="2" fillId="3" borderId="2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2" fontId="2" fillId="4" borderId="27" xfId="0" applyNumberFormat="1" applyFont="1" applyFill="1" applyBorder="1" applyAlignment="1">
      <alignment horizontal="center"/>
    </xf>
    <xf numFmtId="167" fontId="2" fillId="3" borderId="27" xfId="0" applyNumberFormat="1" applyFont="1" applyFill="1" applyBorder="1" applyAlignment="1">
      <alignment horizontal="center"/>
    </xf>
    <xf numFmtId="0" fontId="9" fillId="2" borderId="0" xfId="0" applyFont="1" applyFill="1"/>
    <xf numFmtId="167" fontId="2" fillId="4" borderId="27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2" fillId="2" borderId="47" xfId="0" applyFont="1" applyFill="1" applyBorder="1" applyAlignment="1">
      <alignment horizontal="right"/>
    </xf>
    <xf numFmtId="2" fontId="2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2" fillId="2" borderId="41" xfId="0" applyFont="1" applyFill="1" applyBorder="1" applyAlignment="1">
      <alignment horizontal="right"/>
    </xf>
    <xf numFmtId="166" fontId="3" fillId="4" borderId="41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1" fontId="10" fillId="5" borderId="24" xfId="0" applyNumberFormat="1" applyFont="1" applyFill="1" applyBorder="1" applyAlignment="1" applyProtection="1">
      <alignment horizontal="center"/>
      <protection locked="0"/>
    </xf>
    <xf numFmtId="2" fontId="2" fillId="2" borderId="23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2" fontId="2" fillId="2" borderId="24" xfId="0" applyNumberFormat="1" applyFont="1" applyFill="1" applyBorder="1" applyAlignment="1">
      <alignment horizontal="center"/>
    </xf>
    <xf numFmtId="10" fontId="2" fillId="2" borderId="37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" fontId="10" fillId="5" borderId="25" xfId="0" applyNumberFormat="1" applyFont="1" applyFill="1" applyBorder="1" applyAlignment="1" applyProtection="1">
      <alignment horizontal="center"/>
      <protection locked="0"/>
    </xf>
    <xf numFmtId="2" fontId="2" fillId="2" borderId="25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2" fillId="2" borderId="26" xfId="0" applyNumberFormat="1" applyFont="1" applyFill="1" applyBorder="1" applyAlignment="1">
      <alignment horizontal="right"/>
    </xf>
    <xf numFmtId="10" fontId="10" fillId="4" borderId="27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8" xfId="0" applyFont="1" applyFill="1" applyBorder="1"/>
    <xf numFmtId="10" fontId="10" fillId="3" borderId="27" xfId="0" applyNumberFormat="1" applyFont="1" applyFill="1" applyBorder="1" applyAlignment="1">
      <alignment horizontal="center"/>
    </xf>
    <xf numFmtId="0" fontId="2" fillId="2" borderId="29" xfId="0" applyFont="1" applyFill="1" applyBorder="1"/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right"/>
    </xf>
    <xf numFmtId="0" fontId="10" fillId="4" borderId="13" xfId="0" applyFont="1" applyFill="1" applyBorder="1" applyAlignment="1">
      <alignment horizontal="center"/>
    </xf>
    <xf numFmtId="0" fontId="8" fillId="2" borderId="39" xfId="0" applyFont="1" applyFill="1" applyBorder="1" applyAlignment="1">
      <alignment horizontal="left" vertical="center" wrapText="1"/>
    </xf>
    <xf numFmtId="0" fontId="2" fillId="2" borderId="39" xfId="0" applyFont="1" applyFill="1" applyBorder="1"/>
    <xf numFmtId="0" fontId="2" fillId="2" borderId="34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2" fillId="2" borderId="35" xfId="0" applyFont="1" applyFill="1" applyBorder="1"/>
    <xf numFmtId="0" fontId="2" fillId="2" borderId="35" xfId="0" applyFont="1" applyFill="1" applyBorder="1"/>
    <xf numFmtId="0" fontId="3" fillId="2" borderId="42" xfId="0" applyFont="1" applyFill="1" applyBorder="1"/>
    <xf numFmtId="0" fontId="2" fillId="2" borderId="42" xfId="0" applyFont="1" applyFill="1" applyBorder="1"/>
    <xf numFmtId="0" fontId="8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0" fontId="9" fillId="2" borderId="0" xfId="0" applyFont="1" applyFill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7" fontId="9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14" fillId="2" borderId="0" xfId="0" applyNumberFormat="1" applyFont="1" applyFill="1" applyAlignment="1">
      <alignment horizontal="right"/>
    </xf>
    <xf numFmtId="171" fontId="15" fillId="2" borderId="0" xfId="0" applyNumberFormat="1" applyFont="1" applyFill="1"/>
    <xf numFmtId="2" fontId="14" fillId="2" borderId="0" xfId="0" applyNumberFormat="1" applyFont="1" applyFill="1"/>
    <xf numFmtId="0" fontId="16" fillId="2" borderId="0" xfId="0" applyFont="1" applyFill="1" applyAlignment="1">
      <alignment horizontal="left"/>
    </xf>
    <xf numFmtId="0" fontId="13" fillId="2" borderId="0" xfId="0" applyFont="1" applyFill="1"/>
    <xf numFmtId="0" fontId="13" fillId="2" borderId="0" xfId="0" applyFont="1" applyFill="1"/>
    <xf numFmtId="0" fontId="17" fillId="2" borderId="0" xfId="0" applyFont="1" applyFill="1" applyAlignment="1">
      <alignment horizontal="right"/>
    </xf>
    <xf numFmtId="0" fontId="13" fillId="2" borderId="39" xfId="0" applyFont="1" applyFill="1" applyBorder="1"/>
    <xf numFmtId="0" fontId="13" fillId="2" borderId="0" xfId="0" applyFont="1" applyFill="1" applyAlignment="1">
      <alignment horizontal="center"/>
    </xf>
    <xf numFmtId="10" fontId="13" fillId="2" borderId="39" xfId="0" applyNumberFormat="1" applyFont="1" applyFill="1" applyBorder="1"/>
    <xf numFmtId="0" fontId="18" fillId="2" borderId="0" xfId="0" applyFont="1" applyFill="1"/>
    <xf numFmtId="0" fontId="17" fillId="2" borderId="34" xfId="0" applyFont="1" applyFill="1" applyBorder="1"/>
    <xf numFmtId="0" fontId="17" fillId="2" borderId="34" xfId="0" applyFont="1" applyFill="1" applyBorder="1" applyAlignment="1">
      <alignment horizontal="center"/>
    </xf>
    <xf numFmtId="0" fontId="13" fillId="2" borderId="34" xfId="0" applyFont="1" applyFill="1" applyBorder="1" applyAlignment="1">
      <alignment horizontal="center"/>
    </xf>
    <xf numFmtId="0" fontId="17" fillId="2" borderId="0" xfId="0" applyFont="1" applyFill="1" applyAlignment="1">
      <alignment horizontal="right"/>
    </xf>
    <xf numFmtId="0" fontId="13" fillId="2" borderId="35" xfId="0" applyFont="1" applyFill="1" applyBorder="1"/>
    <xf numFmtId="0" fontId="13" fillId="2" borderId="0" xfId="0" applyFont="1" applyFill="1"/>
    <xf numFmtId="0" fontId="13" fillId="2" borderId="35" xfId="0" applyFont="1" applyFill="1" applyBorder="1"/>
    <xf numFmtId="0" fontId="17" fillId="2" borderId="42" xfId="0" applyFont="1" applyFill="1" applyBorder="1"/>
    <xf numFmtId="0" fontId="17" fillId="2" borderId="0" xfId="0" applyFont="1" applyFill="1"/>
    <xf numFmtId="0" fontId="13" fillId="2" borderId="42" xfId="0" applyFont="1" applyFill="1" applyBorder="1"/>
    <xf numFmtId="172" fontId="13" fillId="2" borderId="0" xfId="0" applyNumberFormat="1" applyFont="1" applyFill="1"/>
    <xf numFmtId="167" fontId="13" fillId="2" borderId="0" xfId="0" applyNumberFormat="1" applyFont="1" applyFill="1" applyAlignment="1">
      <alignment horizontal="center"/>
    </xf>
    <xf numFmtId="2" fontId="17" fillId="2" borderId="0" xfId="0" applyNumberFormat="1" applyFont="1" applyFill="1"/>
    <xf numFmtId="10" fontId="9" fillId="2" borderId="0" xfId="0" applyNumberFormat="1" applyFont="1" applyFill="1"/>
    <xf numFmtId="2" fontId="17" fillId="2" borderId="56" xfId="0" applyNumberFormat="1" applyFont="1" applyFill="1" applyBorder="1" applyAlignment="1">
      <alignment horizontal="center" vertical="center"/>
    </xf>
    <xf numFmtId="0" fontId="13" fillId="2" borderId="56" xfId="0" applyFont="1" applyFill="1" applyBorder="1" applyAlignment="1">
      <alignment horizontal="right" vertical="center"/>
    </xf>
    <xf numFmtId="167" fontId="13" fillId="2" borderId="56" xfId="0" applyNumberFormat="1" applyFont="1" applyFill="1" applyBorder="1" applyAlignment="1">
      <alignment horizontal="center" vertical="center"/>
    </xf>
    <xf numFmtId="171" fontId="17" fillId="2" borderId="56" xfId="0" applyNumberFormat="1" applyFont="1" applyFill="1" applyBorder="1" applyAlignment="1">
      <alignment horizontal="center" vertical="center"/>
    </xf>
    <xf numFmtId="0" fontId="17" fillId="2" borderId="56" xfId="0" applyFont="1" applyFill="1" applyBorder="1" applyAlignment="1">
      <alignment horizontal="center" wrapText="1"/>
    </xf>
    <xf numFmtId="171" fontId="17" fillId="2" borderId="56" xfId="0" applyNumberFormat="1" applyFont="1" applyFill="1" applyBorder="1" applyAlignment="1">
      <alignment horizontal="center" wrapText="1"/>
    </xf>
    <xf numFmtId="10" fontId="13" fillId="2" borderId="15" xfId="0" applyNumberFormat="1" applyFont="1" applyFill="1" applyBorder="1" applyAlignment="1">
      <alignment horizontal="center"/>
    </xf>
    <xf numFmtId="10" fontId="13" fillId="2" borderId="16" xfId="0" applyNumberFormat="1" applyFont="1" applyFill="1" applyBorder="1" applyAlignment="1">
      <alignment horizontal="center"/>
    </xf>
    <xf numFmtId="10" fontId="1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9" fillId="2" borderId="0" xfId="0" applyFont="1" applyFill="1" applyAlignment="1">
      <alignment wrapText="1"/>
    </xf>
    <xf numFmtId="0" fontId="17" fillId="2" borderId="56" xfId="0" applyFont="1" applyFill="1" applyBorder="1" applyAlignment="1">
      <alignment horizontal="center" vertical="center"/>
    </xf>
    <xf numFmtId="168" fontId="17" fillId="2" borderId="41" xfId="0" applyNumberFormat="1" applyFont="1" applyFill="1" applyBorder="1" applyAlignment="1">
      <alignment horizontal="center"/>
    </xf>
    <xf numFmtId="168" fontId="17" fillId="2" borderId="13" xfId="0" applyNumberFormat="1" applyFont="1" applyFill="1" applyBorder="1" applyAlignment="1">
      <alignment horizontal="center"/>
    </xf>
    <xf numFmtId="2" fontId="13" fillId="5" borderId="16" xfId="0" applyNumberFormat="1" applyFont="1" applyFill="1" applyBorder="1" applyProtection="1">
      <protection locked="0"/>
    </xf>
    <xf numFmtId="2" fontId="13" fillId="5" borderId="17" xfId="0" applyNumberFormat="1" applyFont="1" applyFill="1" applyBorder="1" applyProtection="1">
      <protection locked="0"/>
    </xf>
    <xf numFmtId="172" fontId="13" fillId="2" borderId="0" xfId="0" applyNumberFormat="1" applyFont="1" applyFill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justify" vertical="center" wrapText="1"/>
    </xf>
    <xf numFmtId="0" fontId="8" fillId="2" borderId="53" xfId="0" applyFont="1" applyFill="1" applyBorder="1" applyAlignment="1">
      <alignment horizontal="justify" vertical="center" wrapText="1"/>
    </xf>
    <xf numFmtId="0" fontId="8" fillId="2" borderId="54" xfId="0" applyFont="1" applyFill="1" applyBorder="1" applyAlignment="1">
      <alignment horizontal="justify" vertical="center" wrapText="1"/>
    </xf>
    <xf numFmtId="0" fontId="3" fillId="2" borderId="21" xfId="0" applyFont="1" applyFill="1" applyBorder="1" applyAlignment="1">
      <alignment horizontal="center"/>
    </xf>
    <xf numFmtId="0" fontId="3" fillId="2" borderId="55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left" vertical="center" wrapText="1"/>
    </xf>
    <xf numFmtId="0" fontId="8" fillId="2" borderId="53" xfId="0" applyFont="1" applyFill="1" applyBorder="1" applyAlignment="1">
      <alignment horizontal="left" vertical="center" wrapText="1"/>
    </xf>
    <xf numFmtId="0" fontId="8" fillId="2" borderId="54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34" xfId="0" applyFont="1" applyFill="1" applyBorder="1" applyAlignment="1">
      <alignment horizontal="left" vertical="center" wrapText="1"/>
    </xf>
    <xf numFmtId="0" fontId="8" fillId="2" borderId="29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8" fillId="2" borderId="43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43" xfId="0" applyFont="1" applyFill="1" applyBorder="1" applyAlignment="1">
      <alignment horizontal="center" vertical="center" wrapText="1"/>
    </xf>
    <xf numFmtId="0" fontId="10" fillId="5" borderId="0" xfId="0" applyFont="1" applyFill="1" applyAlignment="1" applyProtection="1">
      <alignment horizontal="left" wrapText="1"/>
      <protection locked="0"/>
    </xf>
    <xf numFmtId="0" fontId="8" fillId="2" borderId="52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54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vertical="center"/>
    </xf>
    <xf numFmtId="0" fontId="11" fillId="5" borderId="0" xfId="0" applyFont="1" applyFill="1" applyAlignment="1" applyProtection="1">
      <alignment horizontal="left" wrapText="1"/>
      <protection locked="0"/>
    </xf>
    <xf numFmtId="0" fontId="11" fillId="5" borderId="0" xfId="0" applyFont="1" applyFill="1" applyAlignment="1" applyProtection="1">
      <alignment horizontal="left"/>
      <protection locked="0"/>
    </xf>
    <xf numFmtId="10" fontId="5" fillId="2" borderId="16" xfId="0" applyNumberFormat="1" applyFont="1" applyFill="1" applyBorder="1" applyAlignment="1">
      <alignment horizontal="center" vertical="center"/>
    </xf>
    <xf numFmtId="2" fontId="10" fillId="5" borderId="15" xfId="0" applyNumberFormat="1" applyFont="1" applyFill="1" applyBorder="1" applyAlignment="1" applyProtection="1">
      <alignment horizontal="center" vertical="center"/>
      <protection locked="0"/>
    </xf>
    <xf numFmtId="2" fontId="10" fillId="5" borderId="16" xfId="0" applyNumberFormat="1" applyFont="1" applyFill="1" applyBorder="1" applyAlignment="1" applyProtection="1">
      <alignment horizontal="center" vertical="center"/>
      <protection locked="0"/>
    </xf>
    <xf numFmtId="2" fontId="10" fillId="5" borderId="17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/>
    </xf>
    <xf numFmtId="0" fontId="10" fillId="5" borderId="0" xfId="0" applyFont="1" applyFill="1" applyAlignment="1" applyProtection="1">
      <alignment horizontal="left"/>
      <protection locked="0"/>
    </xf>
    <xf numFmtId="167" fontId="17" fillId="2" borderId="15" xfId="0" applyNumberFormat="1" applyFont="1" applyFill="1" applyBorder="1" applyAlignment="1">
      <alignment horizontal="center" vertical="center"/>
    </xf>
    <xf numFmtId="167" fontId="17" fillId="2" borderId="17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9" fillId="2" borderId="52" xfId="0" applyFont="1" applyFill="1" applyBorder="1" applyAlignment="1">
      <alignment horizontal="center" wrapText="1"/>
    </xf>
    <xf numFmtId="0" fontId="19" fillId="2" borderId="53" xfId="0" applyFont="1" applyFill="1" applyBorder="1" applyAlignment="1">
      <alignment horizontal="center" wrapText="1"/>
    </xf>
    <xf numFmtId="0" fontId="19" fillId="2" borderId="54" xfId="0" applyFont="1" applyFill="1" applyBorder="1" applyAlignment="1">
      <alignment horizontal="center" wrapText="1"/>
    </xf>
    <xf numFmtId="171" fontId="15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right"/>
    </xf>
    <xf numFmtId="0" fontId="15" fillId="2" borderId="0" xfId="1" applyFont="1" applyFill="1"/>
    <xf numFmtId="0" fontId="9" fillId="2" borderId="0" xfId="1" applyFont="1" applyFill="1"/>
    <xf numFmtId="0" fontId="9" fillId="2" borderId="0" xfId="1" applyFont="1" applyFill="1" applyAlignment="1">
      <alignment horizontal="right"/>
    </xf>
    <xf numFmtId="0" fontId="1" fillId="2" borderId="0" xfId="1" applyFont="1" applyFill="1" applyAlignment="1">
      <alignment horizontal="center"/>
    </xf>
    <xf numFmtId="0" fontId="16" fillId="2" borderId="0" xfId="1" applyFont="1" applyFill="1"/>
    <xf numFmtId="0" fontId="16" fillId="2" borderId="0" xfId="1" applyFont="1" applyFill="1" applyAlignment="1">
      <alignment horizontal="left"/>
    </xf>
    <xf numFmtId="0" fontId="17" fillId="2" borderId="0" xfId="1" applyFont="1" applyFill="1" applyAlignment="1">
      <alignment horizontal="left"/>
    </xf>
    <xf numFmtId="0" fontId="17" fillId="2" borderId="0" xfId="1" applyFont="1" applyFill="1" applyAlignment="1">
      <alignment horizontal="center"/>
    </xf>
    <xf numFmtId="0" fontId="13" fillId="2" borderId="0" xfId="1" applyFont="1" applyFill="1"/>
    <xf numFmtId="0" fontId="17" fillId="2" borderId="0" xfId="1" applyFont="1" applyFill="1"/>
    <xf numFmtId="2" fontId="17" fillId="2" borderId="0" xfId="1" applyNumberFormat="1" applyFont="1" applyFill="1" applyAlignment="1">
      <alignment horizontal="center"/>
    </xf>
    <xf numFmtId="171" fontId="17" fillId="2" borderId="0" xfId="1" applyNumberFormat="1" applyFont="1" applyFill="1" applyAlignment="1">
      <alignment horizontal="center"/>
    </xf>
    <xf numFmtId="14" fontId="13" fillId="2" borderId="0" xfId="1" applyNumberFormat="1" applyFont="1" applyFill="1"/>
    <xf numFmtId="0" fontId="17" fillId="2" borderId="58" xfId="1" applyFont="1" applyFill="1" applyBorder="1" applyAlignment="1">
      <alignment horizontal="center"/>
    </xf>
    <xf numFmtId="0" fontId="17" fillId="2" borderId="26" xfId="1" applyFont="1" applyFill="1" applyBorder="1" applyAlignment="1">
      <alignment horizontal="center"/>
    </xf>
    <xf numFmtId="0" fontId="13" fillId="2" borderId="45" xfId="1" applyFont="1" applyFill="1" applyBorder="1" applyAlignment="1">
      <alignment horizontal="center"/>
    </xf>
    <xf numFmtId="0" fontId="22" fillId="5" borderId="45" xfId="1" applyFont="1" applyFill="1" applyBorder="1" applyAlignment="1" applyProtection="1">
      <alignment horizontal="center"/>
      <protection locked="0"/>
    </xf>
    <xf numFmtId="2" fontId="22" fillId="5" borderId="45" xfId="1" applyNumberFormat="1" applyFont="1" applyFill="1" applyBorder="1" applyAlignment="1" applyProtection="1">
      <alignment horizontal="center"/>
      <protection locked="0"/>
    </xf>
    <xf numFmtId="2" fontId="22" fillId="5" borderId="44" xfId="1" applyNumberFormat="1" applyFont="1" applyFill="1" applyBorder="1" applyAlignment="1" applyProtection="1">
      <alignment horizontal="center"/>
      <protection locked="0"/>
    </xf>
    <xf numFmtId="0" fontId="22" fillId="5" borderId="46" xfId="1" applyFont="1" applyFill="1" applyBorder="1" applyAlignment="1" applyProtection="1">
      <alignment horizontal="center"/>
      <protection locked="0"/>
    </xf>
    <xf numFmtId="2" fontId="22" fillId="5" borderId="46" xfId="1" applyNumberFormat="1" applyFont="1" applyFill="1" applyBorder="1" applyAlignment="1" applyProtection="1">
      <alignment horizontal="center"/>
      <protection locked="0"/>
    </xf>
    <xf numFmtId="0" fontId="13" fillId="2" borderId="44" xfId="1" applyFont="1" applyFill="1" applyBorder="1"/>
    <xf numFmtId="1" fontId="17" fillId="6" borderId="26" xfId="1" applyNumberFormat="1" applyFont="1" applyFill="1" applyBorder="1" applyAlignment="1">
      <alignment horizontal="center"/>
    </xf>
    <xf numFmtId="1" fontId="17" fillId="6" borderId="58" xfId="1" applyNumberFormat="1" applyFont="1" applyFill="1" applyBorder="1" applyAlignment="1">
      <alignment horizontal="center"/>
    </xf>
    <xf numFmtId="2" fontId="17" fillId="6" borderId="58" xfId="1" applyNumberFormat="1" applyFont="1" applyFill="1" applyBorder="1" applyAlignment="1">
      <alignment horizontal="center"/>
    </xf>
    <xf numFmtId="0" fontId="13" fillId="2" borderId="45" xfId="1" applyFont="1" applyFill="1" applyBorder="1"/>
    <xf numFmtId="10" fontId="17" fillId="7" borderId="58" xfId="1" applyNumberFormat="1" applyFont="1" applyFill="1" applyBorder="1" applyAlignment="1">
      <alignment horizontal="center"/>
    </xf>
    <xf numFmtId="168" fontId="17" fillId="2" borderId="0" xfId="1" applyNumberFormat="1" applyFont="1" applyFill="1" applyAlignment="1">
      <alignment horizontal="center"/>
    </xf>
    <xf numFmtId="0" fontId="13" fillId="2" borderId="28" xfId="1" applyFont="1" applyFill="1" applyBorder="1"/>
    <xf numFmtId="0" fontId="13" fillId="2" borderId="46" xfId="1" applyFont="1" applyFill="1" applyBorder="1"/>
    <xf numFmtId="0" fontId="17" fillId="6" borderId="58" xfId="1" applyFont="1" applyFill="1" applyBorder="1" applyAlignment="1">
      <alignment horizontal="center"/>
    </xf>
    <xf numFmtId="0" fontId="17" fillId="2" borderId="35" xfId="1" applyFont="1" applyFill="1" applyBorder="1" applyAlignment="1">
      <alignment horizontal="center"/>
    </xf>
    <xf numFmtId="0" fontId="13" fillId="2" borderId="35" xfId="1" applyFont="1" applyFill="1" applyBorder="1"/>
    <xf numFmtId="0" fontId="13" fillId="2" borderId="59" xfId="1" applyFont="1" applyFill="1" applyBorder="1"/>
    <xf numFmtId="0" fontId="13" fillId="2" borderId="0" xfId="1" applyFont="1" applyFill="1" applyAlignment="1" applyProtection="1">
      <alignment horizontal="left"/>
      <protection locked="0"/>
    </xf>
    <xf numFmtId="0" fontId="13" fillId="2" borderId="0" xfId="1" applyFont="1" applyFill="1" applyProtection="1">
      <protection locked="0"/>
    </xf>
    <xf numFmtId="0" fontId="17" fillId="2" borderId="23" xfId="1" applyFont="1" applyFill="1" applyBorder="1" applyAlignment="1">
      <alignment horizontal="center"/>
    </xf>
    <xf numFmtId="0" fontId="13" fillId="2" borderId="24" xfId="1" applyFont="1" applyFill="1" applyBorder="1" applyAlignment="1">
      <alignment horizontal="center"/>
    </xf>
    <xf numFmtId="1" fontId="17" fillId="6" borderId="25" xfId="1" applyNumberFormat="1" applyFont="1" applyFill="1" applyBorder="1" applyAlignment="1">
      <alignment horizontal="center"/>
    </xf>
    <xf numFmtId="0" fontId="9" fillId="2" borderId="39" xfId="1" applyFont="1" applyFill="1" applyBorder="1"/>
    <xf numFmtId="0" fontId="9" fillId="2" borderId="0" xfId="1" applyFont="1" applyFill="1" applyAlignment="1">
      <alignment horizontal="center"/>
    </xf>
    <xf numFmtId="10" fontId="9" fillId="2" borderId="39" xfId="1" applyNumberFormat="1" applyFont="1" applyFill="1" applyBorder="1"/>
    <xf numFmtId="0" fontId="21" fillId="2" borderId="0" xfId="1" applyFill="1"/>
    <xf numFmtId="0" fontId="15" fillId="2" borderId="34" xfId="1" applyFont="1" applyFill="1" applyBorder="1" applyAlignment="1">
      <alignment horizontal="center"/>
    </xf>
    <xf numFmtId="0" fontId="15" fillId="2" borderId="34" xfId="1" applyFont="1" applyFill="1" applyBorder="1" applyAlignment="1">
      <alignment horizontal="center"/>
    </xf>
    <xf numFmtId="0" fontId="9" fillId="2" borderId="34" xfId="1" applyFont="1" applyFill="1" applyBorder="1" applyAlignment="1">
      <alignment horizontal="center"/>
    </xf>
    <xf numFmtId="0" fontId="15" fillId="2" borderId="0" xfId="1" applyFont="1" applyFill="1" applyAlignment="1">
      <alignment horizontal="right"/>
    </xf>
    <xf numFmtId="0" fontId="9" fillId="2" borderId="35" xfId="1" applyFont="1" applyFill="1" applyBorder="1"/>
    <xf numFmtId="0" fontId="15" fillId="2" borderId="42" xfId="1" applyFont="1" applyFill="1" applyBorder="1"/>
    <xf numFmtId="0" fontId="9" fillId="2" borderId="42" xfId="1" applyFont="1" applyFill="1" applyBorder="1"/>
    <xf numFmtId="14" fontId="9" fillId="2" borderId="35" xfId="1" applyNumberFormat="1" applyFont="1" applyFill="1" applyBorder="1"/>
  </cellXfs>
  <cellStyles count="3">
    <cellStyle name="Normal" xfId="0" builtinId="0"/>
    <cellStyle name="Normal 2" xfId="2"/>
    <cellStyle name="Normal 2 2" xfId="1"/>
  </cellStyles>
  <dxfs count="37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9" zoomScale="90" zoomScaleNormal="100" zoomScaleSheetLayoutView="90" workbookViewId="0">
      <selection activeCell="B22" sqref="B22"/>
    </sheetView>
  </sheetViews>
  <sheetFormatPr defaultRowHeight="13.5" x14ac:dyDescent="0.25"/>
  <cols>
    <col min="1" max="1" width="27.5703125" style="462" customWidth="1"/>
    <col min="2" max="2" width="31.42578125" style="462" customWidth="1"/>
    <col min="3" max="3" width="31.85546875" style="462" customWidth="1"/>
    <col min="4" max="4" width="25.85546875" style="462" customWidth="1"/>
    <col min="5" max="5" width="25.7109375" style="462" customWidth="1"/>
    <col min="6" max="6" width="23.140625" style="462" customWidth="1"/>
    <col min="7" max="7" width="28.42578125" style="462" customWidth="1"/>
    <col min="8" max="8" width="21.5703125" style="462" customWidth="1"/>
    <col min="9" max="9" width="9.140625" style="462" customWidth="1"/>
    <col min="10" max="16384" width="9.140625" style="503"/>
  </cols>
  <sheetData>
    <row r="14" spans="1:6" ht="15" customHeight="1" x14ac:dyDescent="0.3">
      <c r="A14" s="461"/>
      <c r="C14" s="463"/>
      <c r="F14" s="463"/>
    </row>
    <row r="15" spans="1:6" ht="18.75" customHeight="1" x14ac:dyDescent="0.3">
      <c r="A15" s="464" t="s">
        <v>108</v>
      </c>
      <c r="B15" s="464"/>
      <c r="C15" s="464"/>
      <c r="D15" s="464"/>
      <c r="E15" s="464"/>
    </row>
    <row r="16" spans="1:6" ht="16.5" customHeight="1" x14ac:dyDescent="0.3">
      <c r="A16" s="465" t="s">
        <v>11</v>
      </c>
      <c r="B16" s="466" t="s">
        <v>109</v>
      </c>
    </row>
    <row r="17" spans="1:5" ht="16.5" customHeight="1" x14ac:dyDescent="0.3">
      <c r="A17" s="467" t="s">
        <v>110</v>
      </c>
      <c r="B17" s="467" t="s">
        <v>125</v>
      </c>
      <c r="D17" s="468"/>
      <c r="E17" s="469"/>
    </row>
    <row r="18" spans="1:5" ht="16.5" customHeight="1" x14ac:dyDescent="0.3">
      <c r="A18" s="470" t="s">
        <v>12</v>
      </c>
      <c r="B18" s="467" t="s">
        <v>126</v>
      </c>
      <c r="C18" s="469"/>
      <c r="D18" s="469"/>
      <c r="E18" s="469"/>
    </row>
    <row r="19" spans="1:5" ht="16.5" customHeight="1" x14ac:dyDescent="0.3">
      <c r="A19" s="470" t="s">
        <v>14</v>
      </c>
      <c r="B19" s="471">
        <v>97.55</v>
      </c>
      <c r="C19" s="469"/>
      <c r="D19" s="469"/>
      <c r="E19" s="469"/>
    </row>
    <row r="20" spans="1:5" ht="16.5" customHeight="1" x14ac:dyDescent="0.3">
      <c r="A20" s="467" t="s">
        <v>111</v>
      </c>
      <c r="B20" s="471">
        <v>19.21</v>
      </c>
      <c r="C20" s="469"/>
      <c r="D20" s="469"/>
      <c r="E20" s="469"/>
    </row>
    <row r="21" spans="1:5" ht="16.5" customHeight="1" x14ac:dyDescent="0.3">
      <c r="A21" s="467" t="s">
        <v>112</v>
      </c>
      <c r="B21" s="472">
        <f>B20/100*10/20</f>
        <v>9.605000000000001E-2</v>
      </c>
      <c r="C21" s="469"/>
      <c r="D21" s="469"/>
      <c r="E21" s="469"/>
    </row>
    <row r="22" spans="1:5" ht="15.75" customHeight="1" x14ac:dyDescent="0.25">
      <c r="A22" s="469"/>
      <c r="B22" s="473"/>
      <c r="C22" s="469"/>
      <c r="D22" s="469"/>
      <c r="E22" s="469"/>
    </row>
    <row r="23" spans="1:5" ht="16.5" customHeight="1" x14ac:dyDescent="0.3">
      <c r="A23" s="474" t="s">
        <v>113</v>
      </c>
      <c r="B23" s="475" t="s">
        <v>114</v>
      </c>
      <c r="C23" s="474" t="s">
        <v>115</v>
      </c>
      <c r="D23" s="474" t="s">
        <v>116</v>
      </c>
      <c r="E23" s="474" t="s">
        <v>117</v>
      </c>
    </row>
    <row r="24" spans="1:5" ht="16.5" customHeight="1" x14ac:dyDescent="0.3">
      <c r="A24" s="476">
        <v>1</v>
      </c>
      <c r="B24" s="477">
        <v>24031568</v>
      </c>
      <c r="C24" s="477">
        <v>8088.19</v>
      </c>
      <c r="D24" s="478">
        <v>1</v>
      </c>
      <c r="E24" s="479">
        <v>5.71</v>
      </c>
    </row>
    <row r="25" spans="1:5" ht="16.5" customHeight="1" x14ac:dyDescent="0.3">
      <c r="A25" s="476">
        <v>2</v>
      </c>
      <c r="B25" s="477">
        <v>23747705</v>
      </c>
      <c r="C25" s="477">
        <v>8079.05</v>
      </c>
      <c r="D25" s="478">
        <v>1.01</v>
      </c>
      <c r="E25" s="478">
        <v>5.71</v>
      </c>
    </row>
    <row r="26" spans="1:5" ht="16.5" customHeight="1" x14ac:dyDescent="0.3">
      <c r="A26" s="476">
        <v>3</v>
      </c>
      <c r="B26" s="477">
        <v>23694601</v>
      </c>
      <c r="C26" s="477">
        <v>8063.86</v>
      </c>
      <c r="D26" s="478">
        <v>0.99</v>
      </c>
      <c r="E26" s="478">
        <v>5.71</v>
      </c>
    </row>
    <row r="27" spans="1:5" ht="16.5" customHeight="1" x14ac:dyDescent="0.3">
      <c r="A27" s="476">
        <v>4</v>
      </c>
      <c r="B27" s="477">
        <v>24133798</v>
      </c>
      <c r="C27" s="477">
        <v>8051.16</v>
      </c>
      <c r="D27" s="478">
        <v>1.02</v>
      </c>
      <c r="E27" s="478">
        <v>5.71</v>
      </c>
    </row>
    <row r="28" spans="1:5" ht="16.5" customHeight="1" x14ac:dyDescent="0.3">
      <c r="A28" s="476">
        <v>5</v>
      </c>
      <c r="B28" s="477">
        <v>23778707</v>
      </c>
      <c r="C28" s="477">
        <v>8050.46</v>
      </c>
      <c r="D28" s="478">
        <v>1.01</v>
      </c>
      <c r="E28" s="478">
        <v>5.71</v>
      </c>
    </row>
    <row r="29" spans="1:5" ht="16.5" customHeight="1" x14ac:dyDescent="0.3">
      <c r="A29" s="476">
        <v>6</v>
      </c>
      <c r="B29" s="480">
        <v>23814538</v>
      </c>
      <c r="C29" s="480">
        <v>8023.97</v>
      </c>
      <c r="D29" s="481">
        <v>1</v>
      </c>
      <c r="E29" s="481">
        <v>5.71</v>
      </c>
    </row>
    <row r="30" spans="1:5" ht="16.5" customHeight="1" x14ac:dyDescent="0.3">
      <c r="A30" s="482" t="s">
        <v>118</v>
      </c>
      <c r="B30" s="483">
        <f>AVERAGE(B24:B29)</f>
        <v>23866819.5</v>
      </c>
      <c r="C30" s="484">
        <f>AVERAGE(C24:C29)</f>
        <v>8059.4483333333337</v>
      </c>
      <c r="D30" s="485">
        <f>AVERAGE(D24:D29)</f>
        <v>1.0049999999999999</v>
      </c>
      <c r="E30" s="485">
        <f>AVERAGE(E24:E29)</f>
        <v>5.71</v>
      </c>
    </row>
    <row r="31" spans="1:5" ht="16.5" customHeight="1" x14ac:dyDescent="0.3">
      <c r="A31" s="486" t="s">
        <v>119</v>
      </c>
      <c r="B31" s="487">
        <f>(STDEV(B24:B29)/B30)</f>
        <v>7.3237125282674754E-3</v>
      </c>
      <c r="C31" s="488"/>
      <c r="D31" s="488"/>
      <c r="E31" s="489"/>
    </row>
    <row r="32" spans="1:5" s="462" customFormat="1" ht="16.5" customHeight="1" x14ac:dyDescent="0.3">
      <c r="A32" s="490" t="s">
        <v>45</v>
      </c>
      <c r="B32" s="491">
        <f>COUNT(B24:B29)</f>
        <v>6</v>
      </c>
      <c r="C32" s="492"/>
      <c r="D32" s="493"/>
      <c r="E32" s="494"/>
    </row>
    <row r="33" spans="1:5" s="462" customFormat="1" ht="15.75" customHeight="1" x14ac:dyDescent="0.25">
      <c r="A33" s="469"/>
      <c r="B33" s="469"/>
      <c r="C33" s="469"/>
      <c r="D33" s="469"/>
      <c r="E33" s="469"/>
    </row>
    <row r="34" spans="1:5" s="462" customFormat="1" ht="16.5" customHeight="1" x14ac:dyDescent="0.3">
      <c r="A34" s="470" t="s">
        <v>120</v>
      </c>
      <c r="B34" s="495" t="s">
        <v>121</v>
      </c>
      <c r="C34" s="496"/>
      <c r="D34" s="496"/>
      <c r="E34" s="496"/>
    </row>
    <row r="35" spans="1:5" ht="16.5" customHeight="1" x14ac:dyDescent="0.3">
      <c r="A35" s="470"/>
      <c r="B35" s="495" t="s">
        <v>122</v>
      </c>
      <c r="C35" s="496"/>
      <c r="D35" s="496"/>
      <c r="E35" s="496"/>
    </row>
    <row r="36" spans="1:5" ht="16.5" customHeight="1" x14ac:dyDescent="0.3">
      <c r="A36" s="470"/>
      <c r="B36" s="495" t="s">
        <v>123</v>
      </c>
      <c r="C36" s="496"/>
      <c r="D36" s="496"/>
      <c r="E36" s="496"/>
    </row>
    <row r="37" spans="1:5" ht="15.75" customHeight="1" x14ac:dyDescent="0.25">
      <c r="A37" s="469"/>
      <c r="B37" s="469"/>
      <c r="C37" s="469"/>
      <c r="D37" s="469"/>
      <c r="E37" s="469"/>
    </row>
    <row r="38" spans="1:5" ht="16.5" customHeight="1" x14ac:dyDescent="0.3">
      <c r="A38" s="465" t="s">
        <v>11</v>
      </c>
      <c r="B38" s="466" t="s">
        <v>124</v>
      </c>
    </row>
    <row r="39" spans="1:5" ht="16.5" customHeight="1" x14ac:dyDescent="0.3">
      <c r="A39" s="470" t="s">
        <v>12</v>
      </c>
      <c r="B39" s="467"/>
      <c r="C39" s="469"/>
      <c r="D39" s="469"/>
      <c r="E39" s="469"/>
    </row>
    <row r="40" spans="1:5" ht="16.5" customHeight="1" x14ac:dyDescent="0.3">
      <c r="A40" s="470" t="s">
        <v>14</v>
      </c>
      <c r="B40" s="471"/>
      <c r="C40" s="469"/>
      <c r="D40" s="469"/>
      <c r="E40" s="469"/>
    </row>
    <row r="41" spans="1:5" ht="16.5" customHeight="1" x14ac:dyDescent="0.3">
      <c r="A41" s="467" t="s">
        <v>111</v>
      </c>
      <c r="B41" s="471"/>
      <c r="C41" s="469"/>
      <c r="D41" s="469"/>
      <c r="E41" s="469"/>
    </row>
    <row r="42" spans="1:5" ht="16.5" customHeight="1" x14ac:dyDescent="0.3">
      <c r="A42" s="467" t="s">
        <v>112</v>
      </c>
      <c r="B42" s="472"/>
      <c r="C42" s="469"/>
      <c r="D42" s="469"/>
      <c r="E42" s="469"/>
    </row>
    <row r="43" spans="1:5" ht="15.75" customHeight="1" x14ac:dyDescent="0.25">
      <c r="A43" s="469"/>
      <c r="B43" s="469"/>
      <c r="C43" s="469"/>
      <c r="D43" s="469"/>
      <c r="E43" s="469"/>
    </row>
    <row r="44" spans="1:5" ht="16.5" customHeight="1" x14ac:dyDescent="0.3">
      <c r="A44" s="474" t="s">
        <v>113</v>
      </c>
      <c r="B44" s="497" t="s">
        <v>114</v>
      </c>
      <c r="C44" s="474" t="s">
        <v>115</v>
      </c>
      <c r="D44" s="474" t="s">
        <v>116</v>
      </c>
      <c r="E44" s="474" t="s">
        <v>117</v>
      </c>
    </row>
    <row r="45" spans="1:5" ht="16.5" customHeight="1" x14ac:dyDescent="0.3">
      <c r="A45" s="498">
        <v>1</v>
      </c>
      <c r="B45" s="477">
        <v>24031568</v>
      </c>
      <c r="C45" s="477">
        <v>8088.19</v>
      </c>
      <c r="D45" s="478">
        <v>1</v>
      </c>
      <c r="E45" s="479">
        <v>5.71</v>
      </c>
    </row>
    <row r="46" spans="1:5" ht="16.5" customHeight="1" x14ac:dyDescent="0.3">
      <c r="A46" s="498">
        <v>2</v>
      </c>
      <c r="B46" s="477">
        <v>23747705</v>
      </c>
      <c r="C46" s="477">
        <v>8079.05</v>
      </c>
      <c r="D46" s="478">
        <v>1.01</v>
      </c>
      <c r="E46" s="478">
        <v>5.71</v>
      </c>
    </row>
    <row r="47" spans="1:5" ht="16.5" customHeight="1" x14ac:dyDescent="0.3">
      <c r="A47" s="498">
        <v>3</v>
      </c>
      <c r="B47" s="477">
        <v>23694601</v>
      </c>
      <c r="C47" s="477">
        <v>8063.86</v>
      </c>
      <c r="D47" s="478">
        <v>0.99</v>
      </c>
      <c r="E47" s="478">
        <v>5.71</v>
      </c>
    </row>
    <row r="48" spans="1:5" ht="16.5" customHeight="1" x14ac:dyDescent="0.3">
      <c r="A48" s="498">
        <v>4</v>
      </c>
      <c r="B48" s="477">
        <v>24133798</v>
      </c>
      <c r="C48" s="477">
        <v>8051.16</v>
      </c>
      <c r="D48" s="478">
        <v>1.02</v>
      </c>
      <c r="E48" s="478">
        <v>5.71</v>
      </c>
    </row>
    <row r="49" spans="1:7" ht="16.5" customHeight="1" x14ac:dyDescent="0.3">
      <c r="A49" s="498">
        <v>5</v>
      </c>
      <c r="B49" s="477">
        <v>23778707</v>
      </c>
      <c r="C49" s="477">
        <v>8050.46</v>
      </c>
      <c r="D49" s="478">
        <v>1.01</v>
      </c>
      <c r="E49" s="478">
        <v>5.71</v>
      </c>
    </row>
    <row r="50" spans="1:7" ht="16.5" customHeight="1" x14ac:dyDescent="0.3">
      <c r="A50" s="498">
        <v>6</v>
      </c>
      <c r="B50" s="480">
        <v>23814538</v>
      </c>
      <c r="C50" s="480">
        <v>8023.97</v>
      </c>
      <c r="D50" s="481">
        <v>1</v>
      </c>
      <c r="E50" s="481">
        <v>5.71</v>
      </c>
    </row>
    <row r="51" spans="1:7" ht="16.5" customHeight="1" x14ac:dyDescent="0.3">
      <c r="A51" s="482" t="s">
        <v>118</v>
      </c>
      <c r="B51" s="499">
        <f>AVERAGE(B45:B50)</f>
        <v>23866819.5</v>
      </c>
      <c r="C51" s="484">
        <f>AVERAGE(C45:C50)</f>
        <v>8059.4483333333337</v>
      </c>
      <c r="D51" s="485">
        <f>AVERAGE(D45:D50)</f>
        <v>1.0049999999999999</v>
      </c>
      <c r="E51" s="485">
        <f>AVERAGE(E45:E50)</f>
        <v>5.71</v>
      </c>
    </row>
    <row r="52" spans="1:7" ht="16.5" customHeight="1" x14ac:dyDescent="0.3">
      <c r="A52" s="486" t="s">
        <v>119</v>
      </c>
      <c r="B52" s="487">
        <f>(STDEV(B45:B50)/B51)</f>
        <v>7.3237125282674754E-3</v>
      </c>
      <c r="C52" s="488"/>
      <c r="D52" s="488"/>
      <c r="E52" s="489"/>
    </row>
    <row r="53" spans="1:7" s="462" customFormat="1" ht="16.5" customHeight="1" x14ac:dyDescent="0.3">
      <c r="A53" s="490" t="s">
        <v>45</v>
      </c>
      <c r="B53" s="491">
        <f>COUNT(B45:B50)</f>
        <v>6</v>
      </c>
      <c r="C53" s="492"/>
      <c r="D53" s="493"/>
      <c r="E53" s="494"/>
    </row>
    <row r="54" spans="1:7" s="462" customFormat="1" ht="15.75" customHeight="1" x14ac:dyDescent="0.25">
      <c r="A54" s="469"/>
      <c r="B54" s="469"/>
      <c r="C54" s="469"/>
      <c r="D54" s="469"/>
      <c r="E54" s="469"/>
    </row>
    <row r="55" spans="1:7" s="462" customFormat="1" ht="16.5" customHeight="1" x14ac:dyDescent="0.3">
      <c r="A55" s="470" t="s">
        <v>120</v>
      </c>
      <c r="B55" s="495" t="s">
        <v>121</v>
      </c>
      <c r="C55" s="496"/>
      <c r="D55" s="496"/>
      <c r="E55" s="496"/>
    </row>
    <row r="56" spans="1:7" ht="16.5" customHeight="1" x14ac:dyDescent="0.3">
      <c r="A56" s="470"/>
      <c r="B56" s="495" t="s">
        <v>122</v>
      </c>
      <c r="C56" s="496"/>
      <c r="D56" s="496"/>
      <c r="E56" s="496"/>
    </row>
    <row r="57" spans="1:7" ht="16.5" customHeight="1" x14ac:dyDescent="0.3">
      <c r="A57" s="470"/>
      <c r="B57" s="495" t="s">
        <v>123</v>
      </c>
      <c r="C57" s="496"/>
      <c r="D57" s="496"/>
      <c r="E57" s="496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04" t="s">
        <v>71</v>
      </c>
      <c r="C59" s="504"/>
      <c r="E59" s="505" t="s">
        <v>72</v>
      </c>
      <c r="F59" s="506"/>
      <c r="G59" s="505" t="s">
        <v>73</v>
      </c>
    </row>
    <row r="60" spans="1:7" ht="15" customHeight="1" x14ac:dyDescent="0.3">
      <c r="A60" s="507" t="s">
        <v>74</v>
      </c>
      <c r="B60" s="508" t="s">
        <v>127</v>
      </c>
      <c r="C60" s="508"/>
      <c r="E60" s="511">
        <v>42070</v>
      </c>
      <c r="G60" s="508"/>
    </row>
    <row r="61" spans="1:7" ht="15" customHeight="1" x14ac:dyDescent="0.3">
      <c r="A61" s="507" t="s">
        <v>75</v>
      </c>
      <c r="B61" s="509"/>
      <c r="C61" s="509"/>
      <c r="E61" s="509"/>
      <c r="G61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opLeftCell="A93" zoomScale="60" zoomScaleNormal="60" workbookViewId="0">
      <selection activeCell="F113" sqref="F113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4"/>
    </row>
    <row r="16" spans="1:8" ht="19.5" customHeight="1" x14ac:dyDescent="0.3">
      <c r="A16" s="441" t="s">
        <v>76</v>
      </c>
      <c r="B16" s="442"/>
      <c r="C16" s="442"/>
      <c r="D16" s="442"/>
      <c r="E16" s="442"/>
      <c r="F16" s="442"/>
      <c r="G16" s="442"/>
      <c r="H16" s="443"/>
    </row>
    <row r="17" spans="1:14" ht="20.25" customHeight="1" x14ac:dyDescent="0.3">
      <c r="A17" s="444" t="s">
        <v>0</v>
      </c>
      <c r="B17" s="444"/>
      <c r="C17" s="444"/>
      <c r="D17" s="444"/>
      <c r="E17" s="444"/>
      <c r="F17" s="444"/>
      <c r="G17" s="444"/>
      <c r="H17" s="444"/>
    </row>
    <row r="18" spans="1:14" ht="26.25" customHeight="1" x14ac:dyDescent="0.4">
      <c r="A18" s="6" t="s">
        <v>1</v>
      </c>
      <c r="B18" s="440" t="s">
        <v>2</v>
      </c>
      <c r="C18" s="440"/>
      <c r="D18" s="186"/>
      <c r="E18" s="7"/>
      <c r="F18" s="8"/>
      <c r="G18" s="8"/>
      <c r="H18" s="8"/>
    </row>
    <row r="19" spans="1:14" ht="26.25" customHeight="1" x14ac:dyDescent="0.4">
      <c r="A19" s="6" t="s">
        <v>3</v>
      </c>
      <c r="B19" s="9" t="s">
        <v>4</v>
      </c>
      <c r="C19" s="8">
        <v>1</v>
      </c>
      <c r="D19" s="8"/>
      <c r="E19" s="8"/>
      <c r="F19" s="8"/>
      <c r="G19" s="8"/>
      <c r="H19" s="8"/>
    </row>
    <row r="20" spans="1:14" ht="26.25" customHeight="1" x14ac:dyDescent="0.4">
      <c r="A20" s="6" t="s">
        <v>5</v>
      </c>
      <c r="B20" s="445" t="s">
        <v>130</v>
      </c>
      <c r="C20" s="445"/>
      <c r="D20" s="8"/>
      <c r="E20" s="8"/>
      <c r="F20" s="8"/>
      <c r="G20" s="8"/>
      <c r="H20" s="8"/>
    </row>
    <row r="21" spans="1:14" ht="26.25" customHeight="1" x14ac:dyDescent="0.4">
      <c r="A21" s="6" t="s">
        <v>7</v>
      </c>
      <c r="B21" s="445" t="s">
        <v>128</v>
      </c>
      <c r="C21" s="445"/>
      <c r="D21" s="445"/>
      <c r="E21" s="445"/>
      <c r="F21" s="445"/>
      <c r="G21" s="445"/>
      <c r="H21" s="445"/>
      <c r="I21" s="10"/>
    </row>
    <row r="22" spans="1:14" ht="26.25" customHeight="1" x14ac:dyDescent="0.4">
      <c r="A22" s="6" t="s">
        <v>8</v>
      </c>
      <c r="B22" s="11">
        <v>42186</v>
      </c>
      <c r="C22" s="8"/>
      <c r="D22" s="8"/>
      <c r="E22" s="8"/>
      <c r="F22" s="8"/>
      <c r="G22" s="8"/>
      <c r="H22" s="8"/>
    </row>
    <row r="23" spans="1:14" ht="26.25" customHeight="1" x14ac:dyDescent="0.4">
      <c r="A23" s="6" t="s">
        <v>10</v>
      </c>
      <c r="B23" s="11">
        <v>42188</v>
      </c>
      <c r="C23" s="8"/>
      <c r="D23" s="8"/>
      <c r="E23" s="8"/>
      <c r="F23" s="8"/>
      <c r="G23" s="8"/>
      <c r="H23" s="8"/>
    </row>
    <row r="24" spans="1:14" x14ac:dyDescent="0.3">
      <c r="A24" s="6"/>
      <c r="B24" s="12"/>
    </row>
    <row r="25" spans="1:14" x14ac:dyDescent="0.3">
      <c r="A25" s="13" t="s">
        <v>11</v>
      </c>
      <c r="B25" s="12"/>
    </row>
    <row r="26" spans="1:14" ht="26.25" customHeight="1" x14ac:dyDescent="0.4">
      <c r="A26" s="14" t="s">
        <v>12</v>
      </c>
      <c r="B26" s="440" t="s">
        <v>77</v>
      </c>
      <c r="C26" s="440"/>
    </row>
    <row r="27" spans="1:14" ht="26.25" customHeight="1" x14ac:dyDescent="0.4">
      <c r="A27" s="15" t="s">
        <v>13</v>
      </c>
      <c r="B27" s="446" t="s">
        <v>129</v>
      </c>
      <c r="C27" s="446"/>
    </row>
    <row r="28" spans="1:14" ht="27" customHeight="1" x14ac:dyDescent="0.4">
      <c r="A28" s="15" t="s">
        <v>14</v>
      </c>
      <c r="B28" s="16">
        <v>97.55</v>
      </c>
    </row>
    <row r="29" spans="1:14" s="3" customFormat="1" ht="27" customHeight="1" x14ac:dyDescent="0.4">
      <c r="A29" s="15" t="s">
        <v>15</v>
      </c>
      <c r="B29" s="17">
        <v>0</v>
      </c>
      <c r="C29" s="417" t="s">
        <v>16</v>
      </c>
      <c r="D29" s="418"/>
      <c r="E29" s="418"/>
      <c r="F29" s="418"/>
      <c r="G29" s="419"/>
      <c r="I29" s="18"/>
      <c r="J29" s="18"/>
      <c r="K29" s="18"/>
      <c r="L29" s="18"/>
    </row>
    <row r="30" spans="1:14" s="3" customFormat="1" ht="19.5" customHeight="1" x14ac:dyDescent="0.3">
      <c r="A30" s="15" t="s">
        <v>17</v>
      </c>
      <c r="B30" s="19">
        <f>B28-B29</f>
        <v>97.55</v>
      </c>
      <c r="C30" s="20"/>
      <c r="D30" s="20"/>
      <c r="E30" s="20"/>
      <c r="F30" s="20"/>
      <c r="G30" s="21"/>
      <c r="I30" s="18"/>
      <c r="J30" s="18"/>
      <c r="K30" s="18"/>
      <c r="L30" s="18"/>
    </row>
    <row r="31" spans="1:14" s="3" customFormat="1" ht="27" customHeight="1" x14ac:dyDescent="0.4">
      <c r="A31" s="15" t="s">
        <v>18</v>
      </c>
      <c r="B31" s="22">
        <v>321.82</v>
      </c>
      <c r="C31" s="422" t="s">
        <v>78</v>
      </c>
      <c r="D31" s="423"/>
      <c r="E31" s="423"/>
      <c r="F31" s="423"/>
      <c r="G31" s="423"/>
      <c r="H31" s="424"/>
      <c r="I31" s="18"/>
      <c r="J31" s="18"/>
      <c r="K31" s="18"/>
      <c r="L31" s="18"/>
    </row>
    <row r="32" spans="1:14" s="3" customFormat="1" ht="27" customHeight="1" x14ac:dyDescent="0.4">
      <c r="A32" s="15" t="s">
        <v>19</v>
      </c>
      <c r="B32" s="22">
        <v>419.9</v>
      </c>
      <c r="C32" s="422" t="s">
        <v>79</v>
      </c>
      <c r="D32" s="423"/>
      <c r="E32" s="423"/>
      <c r="F32" s="423"/>
      <c r="G32" s="423"/>
      <c r="H32" s="424"/>
      <c r="I32" s="18"/>
      <c r="J32" s="18"/>
      <c r="K32" s="18"/>
      <c r="L32" s="23"/>
      <c r="M32" s="23"/>
      <c r="N32" s="24"/>
    </row>
    <row r="33" spans="1:14" s="3" customFormat="1" ht="17.25" customHeight="1" x14ac:dyDescent="0.3">
      <c r="A33" s="15"/>
      <c r="B33" s="25"/>
      <c r="C33" s="26"/>
      <c r="D33" s="26"/>
      <c r="E33" s="26"/>
      <c r="F33" s="26"/>
      <c r="G33" s="26"/>
      <c r="H33" s="26"/>
      <c r="I33" s="18"/>
      <c r="J33" s="18"/>
      <c r="K33" s="18"/>
      <c r="L33" s="23"/>
      <c r="M33" s="23"/>
      <c r="N33" s="24"/>
    </row>
    <row r="34" spans="1:14" s="3" customFormat="1" x14ac:dyDescent="0.3">
      <c r="A34" s="15" t="s">
        <v>20</v>
      </c>
      <c r="B34" s="27">
        <f>B31/B32</f>
        <v>0.76642057632769711</v>
      </c>
      <c r="C34" s="5" t="s">
        <v>21</v>
      </c>
      <c r="D34" s="5"/>
      <c r="E34" s="5"/>
      <c r="F34" s="5"/>
      <c r="G34" s="5"/>
      <c r="I34" s="18"/>
      <c r="J34" s="18"/>
      <c r="K34" s="18"/>
      <c r="L34" s="23"/>
      <c r="M34" s="23"/>
      <c r="N34" s="24"/>
    </row>
    <row r="35" spans="1:14" s="3" customFormat="1" ht="19.5" customHeight="1" x14ac:dyDescent="0.3">
      <c r="A35" s="15"/>
      <c r="B35" s="19"/>
      <c r="G35" s="5"/>
      <c r="I35" s="18"/>
      <c r="J35" s="18"/>
      <c r="K35" s="18"/>
      <c r="L35" s="23"/>
      <c r="M35" s="23"/>
      <c r="N35" s="24"/>
    </row>
    <row r="36" spans="1:14" s="3" customFormat="1" ht="27" customHeight="1" x14ac:dyDescent="0.4">
      <c r="A36" s="28" t="s">
        <v>80</v>
      </c>
      <c r="B36" s="29">
        <v>10</v>
      </c>
      <c r="C36" s="5"/>
      <c r="D36" s="420" t="s">
        <v>22</v>
      </c>
      <c r="E36" s="429"/>
      <c r="F36" s="420" t="s">
        <v>23</v>
      </c>
      <c r="G36" s="421"/>
      <c r="J36" s="18"/>
      <c r="K36" s="18"/>
      <c r="L36" s="23"/>
      <c r="M36" s="23"/>
      <c r="N36" s="24"/>
    </row>
    <row r="37" spans="1:14" s="3" customFormat="1" ht="27" customHeight="1" x14ac:dyDescent="0.4">
      <c r="A37" s="30" t="s">
        <v>24</v>
      </c>
      <c r="B37" s="31">
        <v>5</v>
      </c>
      <c r="C37" s="32" t="s">
        <v>49</v>
      </c>
      <c r="D37" s="33" t="s">
        <v>25</v>
      </c>
      <c r="E37" s="34" t="s">
        <v>26</v>
      </c>
      <c r="F37" s="33" t="s">
        <v>25</v>
      </c>
      <c r="G37" s="35" t="s">
        <v>26</v>
      </c>
      <c r="I37" s="36" t="s">
        <v>81</v>
      </c>
      <c r="J37" s="18"/>
      <c r="K37" s="18"/>
      <c r="L37" s="23"/>
      <c r="M37" s="23"/>
      <c r="N37" s="24"/>
    </row>
    <row r="38" spans="1:14" s="3" customFormat="1" ht="26.25" customHeight="1" x14ac:dyDescent="0.4">
      <c r="A38" s="30" t="s">
        <v>27</v>
      </c>
      <c r="B38" s="31">
        <v>100</v>
      </c>
      <c r="C38" s="37">
        <v>1</v>
      </c>
      <c r="D38" s="38">
        <v>23487330</v>
      </c>
      <c r="E38" s="39">
        <f>IF(ISBLANK(D38),"-",$D$48/$D$45*D38)</f>
        <v>32707085.852722526</v>
      </c>
      <c r="F38" s="38">
        <v>28931785</v>
      </c>
      <c r="G38" s="40">
        <f>IF(ISBLANK(F38),"-",$D$48/$F$45*F38)</f>
        <v>33974813.029880755</v>
      </c>
      <c r="I38" s="41"/>
      <c r="J38" s="18"/>
      <c r="K38" s="18"/>
      <c r="L38" s="23"/>
      <c r="M38" s="23"/>
      <c r="N38" s="24"/>
    </row>
    <row r="39" spans="1:14" s="3" customFormat="1" ht="26.25" customHeight="1" x14ac:dyDescent="0.4">
      <c r="A39" s="30" t="s">
        <v>28</v>
      </c>
      <c r="B39" s="31">
        <v>1</v>
      </c>
      <c r="C39" s="42">
        <v>2</v>
      </c>
      <c r="D39" s="43">
        <v>23407620</v>
      </c>
      <c r="E39" s="44">
        <f>IF(ISBLANK(D39),"-",$D$48/$D$45*D39)</f>
        <v>32596086.355831202</v>
      </c>
      <c r="F39" s="43">
        <v>28089291</v>
      </c>
      <c r="G39" s="45">
        <f>IF(ISBLANK(F39),"-",$D$48/$F$45*F39)</f>
        <v>32985465.980302013</v>
      </c>
      <c r="I39" s="447">
        <f>ABS((F43/D43*D42)-F42)/D42</f>
        <v>3.2387215773235556E-2</v>
      </c>
      <c r="J39" s="18"/>
      <c r="K39" s="18"/>
      <c r="L39" s="23"/>
      <c r="M39" s="23"/>
      <c r="N39" s="24"/>
    </row>
    <row r="40" spans="1:14" ht="26.25" customHeight="1" x14ac:dyDescent="0.4">
      <c r="A40" s="30" t="s">
        <v>29</v>
      </c>
      <c r="B40" s="31">
        <v>1</v>
      </c>
      <c r="C40" s="42">
        <v>3</v>
      </c>
      <c r="D40" s="43">
        <v>23521726</v>
      </c>
      <c r="E40" s="44">
        <f>IF(ISBLANK(D40),"-",$D$48/$D$45*D40)</f>
        <v>32754983.716165934</v>
      </c>
      <c r="F40" s="43">
        <v>28762485</v>
      </c>
      <c r="G40" s="45">
        <f>IF(ISBLANK(F40),"-",$D$48/$F$45*F40)</f>
        <v>33776002.764770634</v>
      </c>
      <c r="I40" s="447"/>
      <c r="L40" s="23"/>
      <c r="M40" s="23"/>
      <c r="N40" s="46"/>
    </row>
    <row r="41" spans="1:14" ht="27" customHeight="1" x14ac:dyDescent="0.4">
      <c r="A41" s="30" t="s">
        <v>30</v>
      </c>
      <c r="B41" s="31">
        <v>1</v>
      </c>
      <c r="C41" s="47">
        <v>4</v>
      </c>
      <c r="D41" s="48"/>
      <c r="E41" s="49" t="str">
        <f>IF(ISBLANK(D41),"-",$D$48/$D$45*D41)</f>
        <v>-</v>
      </c>
      <c r="F41" s="48"/>
      <c r="G41" s="50" t="str">
        <f>IF(ISBLANK(F41),"-",$D$48/$F$45*F41)</f>
        <v>-</v>
      </c>
      <c r="I41" s="51"/>
      <c r="L41" s="23"/>
      <c r="M41" s="23"/>
      <c r="N41" s="46"/>
    </row>
    <row r="42" spans="1:14" ht="27" customHeight="1" x14ac:dyDescent="0.4">
      <c r="A42" s="30" t="s">
        <v>31</v>
      </c>
      <c r="B42" s="31">
        <v>1</v>
      </c>
      <c r="C42" s="52" t="s">
        <v>32</v>
      </c>
      <c r="D42" s="53">
        <f>AVERAGE(D38:D41)</f>
        <v>23472225.333333332</v>
      </c>
      <c r="E42" s="54">
        <f>AVERAGE(E38:E41)</f>
        <v>32686051.974906553</v>
      </c>
      <c r="F42" s="53">
        <f>AVERAGE(F38:F41)</f>
        <v>28594520.333333332</v>
      </c>
      <c r="G42" s="55">
        <f>AVERAGE(G38:G41)</f>
        <v>33578760.591651134</v>
      </c>
      <c r="H42" s="56"/>
    </row>
    <row r="43" spans="1:14" ht="26.25" customHeight="1" x14ac:dyDescent="0.4">
      <c r="A43" s="30" t="s">
        <v>33</v>
      </c>
      <c r="B43" s="31">
        <v>1</v>
      </c>
      <c r="C43" s="57" t="s">
        <v>82</v>
      </c>
      <c r="D43" s="58">
        <v>19.21</v>
      </c>
      <c r="E43" s="46"/>
      <c r="F43" s="58">
        <v>22.78</v>
      </c>
      <c r="H43" s="56"/>
    </row>
    <row r="44" spans="1:14" ht="26.25" customHeight="1" x14ac:dyDescent="0.4">
      <c r="A44" s="30" t="s">
        <v>35</v>
      </c>
      <c r="B44" s="31">
        <v>1</v>
      </c>
      <c r="C44" s="59" t="s">
        <v>83</v>
      </c>
      <c r="D44" s="60">
        <f>D43*$B$34</f>
        <v>14.722939271255061</v>
      </c>
      <c r="E44" s="61"/>
      <c r="F44" s="60">
        <f>F43*$B$34</f>
        <v>17.459060728744941</v>
      </c>
      <c r="H44" s="56"/>
    </row>
    <row r="45" spans="1:14" ht="19.5" customHeight="1" x14ac:dyDescent="0.3">
      <c r="A45" s="30" t="s">
        <v>37</v>
      </c>
      <c r="B45" s="62">
        <f>(B44/B43)*(B42/B41)*(B40/B39)*(B38/B37)*B36</f>
        <v>200</v>
      </c>
      <c r="C45" s="59" t="s">
        <v>84</v>
      </c>
      <c r="D45" s="63">
        <f>D44*$B$30/100</f>
        <v>14.362227259109311</v>
      </c>
      <c r="E45" s="64"/>
      <c r="F45" s="63">
        <f>F44*$B$30/100</f>
        <v>17.031313740890688</v>
      </c>
      <c r="H45" s="56"/>
    </row>
    <row r="46" spans="1:14" ht="19.5" customHeight="1" x14ac:dyDescent="0.3">
      <c r="A46" s="430" t="s">
        <v>39</v>
      </c>
      <c r="B46" s="434"/>
      <c r="C46" s="59" t="s">
        <v>85</v>
      </c>
      <c r="D46" s="65">
        <f>D45/$B$45</f>
        <v>7.1811136295546557E-2</v>
      </c>
      <c r="E46" s="66"/>
      <c r="F46" s="67">
        <f>F45/$B$45</f>
        <v>8.5156568704453442E-2</v>
      </c>
      <c r="H46" s="56"/>
    </row>
    <row r="47" spans="1:14" ht="27" customHeight="1" x14ac:dyDescent="0.4">
      <c r="A47" s="432"/>
      <c r="B47" s="435"/>
      <c r="C47" s="68" t="s">
        <v>86</v>
      </c>
      <c r="D47" s="69">
        <v>0.1</v>
      </c>
      <c r="E47" s="70"/>
      <c r="F47" s="66"/>
      <c r="H47" s="56"/>
    </row>
    <row r="48" spans="1:14" x14ac:dyDescent="0.3">
      <c r="C48" s="71" t="s">
        <v>41</v>
      </c>
      <c r="D48" s="63">
        <f>D47*$B$45</f>
        <v>20</v>
      </c>
      <c r="F48" s="72"/>
      <c r="H48" s="56"/>
    </row>
    <row r="49" spans="1:12" ht="19.5" customHeight="1" x14ac:dyDescent="0.3">
      <c r="C49" s="73" t="s">
        <v>42</v>
      </c>
      <c r="D49" s="74">
        <f>D48/B34</f>
        <v>26.095332794729973</v>
      </c>
      <c r="F49" s="72"/>
      <c r="H49" s="56"/>
    </row>
    <row r="50" spans="1:12" x14ac:dyDescent="0.3">
      <c r="C50" s="28" t="s">
        <v>43</v>
      </c>
      <c r="D50" s="75">
        <f>AVERAGE(E38:E41,G38:G41)</f>
        <v>33132406.283278842</v>
      </c>
      <c r="F50" s="76"/>
      <c r="H50" s="56"/>
    </row>
    <row r="51" spans="1:12" x14ac:dyDescent="0.3">
      <c r="C51" s="30" t="s">
        <v>44</v>
      </c>
      <c r="D51" s="77">
        <f>STDEV(E38:E41,G38:G41)/D50</f>
        <v>1.7888702619165382E-2</v>
      </c>
      <c r="F51" s="76"/>
      <c r="H51" s="56"/>
    </row>
    <row r="52" spans="1:12" ht="19.5" customHeight="1" x14ac:dyDescent="0.3">
      <c r="C52" s="78" t="s">
        <v>45</v>
      </c>
      <c r="D52" s="79">
        <f>COUNT(E38:E41,G38:G41)</f>
        <v>6</v>
      </c>
      <c r="F52" s="76"/>
    </row>
    <row r="54" spans="1:12" x14ac:dyDescent="0.3">
      <c r="A54" s="80" t="s">
        <v>11</v>
      </c>
      <c r="B54" s="81" t="s">
        <v>46</v>
      </c>
    </row>
    <row r="55" spans="1:12" x14ac:dyDescent="0.3">
      <c r="A55" s="5" t="s">
        <v>47</v>
      </c>
      <c r="B55" s="82" t="str">
        <f>B21</f>
        <v>Clopidogrel Hydrogen Sulfate 75mg</v>
      </c>
    </row>
    <row r="56" spans="1:12" ht="26.25" customHeight="1" x14ac:dyDescent="0.4">
      <c r="A56" s="83" t="s">
        <v>87</v>
      </c>
      <c r="B56" s="84">
        <v>75</v>
      </c>
      <c r="C56" s="5" t="str">
        <f>B20</f>
        <v>Clopidogrel</v>
      </c>
      <c r="H56" s="85"/>
    </row>
    <row r="57" spans="1:12" x14ac:dyDescent="0.3">
      <c r="A57" s="82" t="s">
        <v>88</v>
      </c>
      <c r="B57" s="86">
        <f>Uniformity!C46</f>
        <v>264.57499999999993</v>
      </c>
      <c r="H57" s="85"/>
    </row>
    <row r="58" spans="1:12" ht="19.5" customHeight="1" x14ac:dyDescent="0.3">
      <c r="H58" s="85"/>
    </row>
    <row r="59" spans="1:12" s="3" customFormat="1" ht="27" customHeight="1" x14ac:dyDescent="0.4">
      <c r="A59" s="28" t="s">
        <v>89</v>
      </c>
      <c r="B59" s="29">
        <v>50</v>
      </c>
      <c r="C59" s="5"/>
      <c r="D59" s="87" t="s">
        <v>48</v>
      </c>
      <c r="E59" s="88" t="s">
        <v>49</v>
      </c>
      <c r="F59" s="88" t="s">
        <v>25</v>
      </c>
      <c r="G59" s="88" t="s">
        <v>50</v>
      </c>
      <c r="H59" s="32" t="s">
        <v>51</v>
      </c>
      <c r="L59" s="18"/>
    </row>
    <row r="60" spans="1:12" s="3" customFormat="1" ht="26.25" customHeight="1" x14ac:dyDescent="0.4">
      <c r="A60" s="30" t="s">
        <v>90</v>
      </c>
      <c r="B60" s="31">
        <v>3</v>
      </c>
      <c r="C60" s="425" t="s">
        <v>53</v>
      </c>
      <c r="D60" s="448">
        <v>264.43</v>
      </c>
      <c r="E60" s="89">
        <v>1</v>
      </c>
      <c r="F60" s="90">
        <v>29781572</v>
      </c>
      <c r="G60" s="91">
        <f>IF(ISBLANK(F60),"-",(F60/$D$50*$D$47*$B$68)*($B$57/$D$60))</f>
        <v>74.946520255682259</v>
      </c>
      <c r="H60" s="92">
        <f>IF(ISBLANK(F60),"-",G60/$B$56)</f>
        <v>0.99928693674243008</v>
      </c>
      <c r="L60" s="18"/>
    </row>
    <row r="61" spans="1:12" s="3" customFormat="1" ht="26.25" customHeight="1" x14ac:dyDescent="0.4">
      <c r="A61" s="30" t="s">
        <v>54</v>
      </c>
      <c r="B61" s="31">
        <v>50</v>
      </c>
      <c r="C61" s="426"/>
      <c r="D61" s="449"/>
      <c r="E61" s="93">
        <v>2</v>
      </c>
      <c r="F61" s="43">
        <v>30905375</v>
      </c>
      <c r="G61" s="94">
        <f>IF(ISBLANK(F61),"-",(F61/$D$50*$D$47*$B$68)*($B$57/$D$60))</f>
        <v>77.77461557257476</v>
      </c>
      <c r="H61" s="95">
        <f>IF(ISBLANK(F61),"-",G61/$B$56)</f>
        <v>1.0369948743009969</v>
      </c>
      <c r="L61" s="18"/>
    </row>
    <row r="62" spans="1:12" s="3" customFormat="1" ht="26.25" customHeight="1" x14ac:dyDescent="0.4">
      <c r="A62" s="30" t="s">
        <v>55</v>
      </c>
      <c r="B62" s="31">
        <v>1</v>
      </c>
      <c r="C62" s="426"/>
      <c r="D62" s="449"/>
      <c r="E62" s="93">
        <v>3</v>
      </c>
      <c r="F62" s="96">
        <v>30336209</v>
      </c>
      <c r="G62" s="94">
        <f>IF(ISBLANK(F62),"-",(F62/$D$50*$D$47*$B$68)*($B$57/$D$60))</f>
        <v>76.342286508553372</v>
      </c>
      <c r="H62" s="95">
        <f t="shared" ref="H60:H71" si="0">IF(ISBLANK(F62),"-",G62/$B$56)</f>
        <v>1.0178971534473782</v>
      </c>
      <c r="L62" s="18"/>
    </row>
    <row r="63" spans="1:12" ht="27" customHeight="1" x14ac:dyDescent="0.4">
      <c r="A63" s="30" t="s">
        <v>56</v>
      </c>
      <c r="B63" s="31">
        <v>1</v>
      </c>
      <c r="C63" s="427"/>
      <c r="D63" s="450"/>
      <c r="E63" s="97">
        <v>4</v>
      </c>
      <c r="F63" s="98"/>
      <c r="G63" s="94" t="str">
        <f>IF(ISBLANK(F63),"-",(F63/$D$50*$D$47*$B$68)*($B$57/$D$60))</f>
        <v>-</v>
      </c>
      <c r="H63" s="95" t="str">
        <f t="shared" si="0"/>
        <v>-</v>
      </c>
    </row>
    <row r="64" spans="1:12" ht="26.25" customHeight="1" x14ac:dyDescent="0.4">
      <c r="A64" s="30" t="s">
        <v>57</v>
      </c>
      <c r="B64" s="31">
        <v>1</v>
      </c>
      <c r="C64" s="425" t="s">
        <v>58</v>
      </c>
      <c r="D64" s="448">
        <v>270.58</v>
      </c>
      <c r="E64" s="89">
        <v>1</v>
      </c>
      <c r="F64" s="90"/>
      <c r="G64" s="99" t="str">
        <f>IF(ISBLANK(F64),"-",(F64/$D$50*$D$47*$B$68)*($B$57/$D$64))</f>
        <v>-</v>
      </c>
      <c r="H64" s="100"/>
    </row>
    <row r="65" spans="1:8" ht="26.25" customHeight="1" x14ac:dyDescent="0.4">
      <c r="A65" s="30" t="s">
        <v>59</v>
      </c>
      <c r="B65" s="31">
        <v>1</v>
      </c>
      <c r="C65" s="426"/>
      <c r="D65" s="449"/>
      <c r="E65" s="93">
        <v>2</v>
      </c>
      <c r="F65" s="43"/>
      <c r="G65" s="101" t="str">
        <f>IF(ISBLANK(F65),"-",(F65/$D$50*$D$47*$B$68)*($B$57/$D$64))</f>
        <v>-</v>
      </c>
      <c r="H65" s="102"/>
    </row>
    <row r="66" spans="1:8" ht="26.25" customHeight="1" x14ac:dyDescent="0.4">
      <c r="A66" s="30" t="s">
        <v>60</v>
      </c>
      <c r="B66" s="31">
        <v>1</v>
      </c>
      <c r="C66" s="426"/>
      <c r="D66" s="449"/>
      <c r="E66" s="93">
        <v>3</v>
      </c>
      <c r="F66" s="43"/>
      <c r="G66" s="101" t="str">
        <f>IF(ISBLANK(F66),"-",(F66/$D$50*$D$47*$B$68)*($B$57/$D$64))</f>
        <v>-</v>
      </c>
      <c r="H66" s="102"/>
    </row>
    <row r="67" spans="1:8" ht="27" customHeight="1" x14ac:dyDescent="0.4">
      <c r="A67" s="30" t="s">
        <v>61</v>
      </c>
      <c r="B67" s="31">
        <v>1</v>
      </c>
      <c r="C67" s="427"/>
      <c r="D67" s="450"/>
      <c r="E67" s="97">
        <v>4</v>
      </c>
      <c r="F67" s="98"/>
      <c r="G67" s="103" t="str">
        <f>IF(ISBLANK(F67),"-",(F67/$D$50*$D$47*$B$68)*($B$57/$D$64))</f>
        <v>-</v>
      </c>
      <c r="H67" s="104"/>
    </row>
    <row r="68" spans="1:8" ht="26.25" customHeight="1" x14ac:dyDescent="0.4">
      <c r="A68" s="30" t="s">
        <v>62</v>
      </c>
      <c r="B68" s="105">
        <f>(B67/B66)*(B65/B64)*(B63/B62)*(B61/B60)*B59</f>
        <v>833.33333333333337</v>
      </c>
      <c r="C68" s="425" t="s">
        <v>63</v>
      </c>
      <c r="D68" s="448">
        <v>262.52</v>
      </c>
      <c r="E68" s="89">
        <v>1</v>
      </c>
      <c r="F68" s="90">
        <v>29351015</v>
      </c>
      <c r="G68" s="99">
        <f>IF(ISBLANK(F68),"-",(F68/$D$50*$D$47*$B$68)*($B$57/$D$68))</f>
        <v>74.400406656922982</v>
      </c>
      <c r="H68" s="95">
        <f>IF(ISBLANK(F68),"-",G68/$B$56)</f>
        <v>0.99200542209230647</v>
      </c>
    </row>
    <row r="69" spans="1:8" ht="27" customHeight="1" x14ac:dyDescent="0.4">
      <c r="A69" s="78" t="s">
        <v>64</v>
      </c>
      <c r="B69" s="106">
        <f>(D47*B68)/B56*B57</f>
        <v>293.97222222222217</v>
      </c>
      <c r="C69" s="426"/>
      <c r="D69" s="449"/>
      <c r="E69" s="93">
        <v>2</v>
      </c>
      <c r="F69" s="43">
        <v>29157371</v>
      </c>
      <c r="G69" s="101">
        <f>IF(ISBLANK(F69),"-",(F69/$D$50*$D$47*$B$68)*($B$57/$D$68))</f>
        <v>73.909548254013458</v>
      </c>
      <c r="H69" s="95">
        <f t="shared" si="0"/>
        <v>0.98546064338684614</v>
      </c>
    </row>
    <row r="70" spans="1:8" ht="26.25" customHeight="1" x14ac:dyDescent="0.4">
      <c r="A70" s="436" t="s">
        <v>39</v>
      </c>
      <c r="B70" s="437"/>
      <c r="C70" s="426"/>
      <c r="D70" s="449"/>
      <c r="E70" s="93">
        <v>3</v>
      </c>
      <c r="F70" s="43">
        <v>29758977</v>
      </c>
      <c r="G70" s="101">
        <f>IF(ISBLANK(F70),"-",(F70/$D$50*$D$47*$B$68)*($B$57/$D$68))</f>
        <v>75.434528941980986</v>
      </c>
      <c r="H70" s="95">
        <f t="shared" si="0"/>
        <v>1.0057937192264133</v>
      </c>
    </row>
    <row r="71" spans="1:8" ht="27" customHeight="1" x14ac:dyDescent="0.4">
      <c r="A71" s="438"/>
      <c r="B71" s="439"/>
      <c r="C71" s="428"/>
      <c r="D71" s="450"/>
      <c r="E71" s="97">
        <v>4</v>
      </c>
      <c r="F71" s="98"/>
      <c r="G71" s="103" t="str">
        <f>IF(ISBLANK(F71),"-",(F71/$D$50*$D$47*$B$68)*($B$57/$D$68))</f>
        <v>-</v>
      </c>
      <c r="H71" s="107" t="str">
        <f t="shared" si="0"/>
        <v>-</v>
      </c>
    </row>
    <row r="72" spans="1:8" ht="26.25" customHeight="1" x14ac:dyDescent="0.4">
      <c r="A72" s="108"/>
      <c r="B72" s="108"/>
      <c r="C72" s="108"/>
      <c r="D72" s="108"/>
      <c r="E72" s="108"/>
      <c r="F72" s="109"/>
      <c r="G72" s="110" t="s">
        <v>32</v>
      </c>
      <c r="H72" s="111">
        <f>AVERAGE(H60:H71)</f>
        <v>1.0062397915327284</v>
      </c>
    </row>
    <row r="73" spans="1:8" ht="26.25" customHeight="1" x14ac:dyDescent="0.4">
      <c r="C73" s="108"/>
      <c r="D73" s="108"/>
      <c r="E73" s="108"/>
      <c r="F73" s="109"/>
      <c r="G73" s="112" t="s">
        <v>44</v>
      </c>
      <c r="H73" s="113">
        <f>STDEV(H60:H71)/H72</f>
        <v>1.8670202677565098E-2</v>
      </c>
    </row>
    <row r="74" spans="1:8" ht="27" customHeight="1" x14ac:dyDescent="0.4">
      <c r="A74" s="108"/>
      <c r="B74" s="108"/>
      <c r="C74" s="109"/>
      <c r="D74" s="109"/>
      <c r="E74" s="114"/>
      <c r="F74" s="109"/>
      <c r="G74" s="115" t="s">
        <v>45</v>
      </c>
      <c r="H74" s="116">
        <f>COUNT(H60:H71)</f>
        <v>6</v>
      </c>
    </row>
    <row r="76" spans="1:8" ht="26.25" customHeight="1" x14ac:dyDescent="0.4">
      <c r="A76" s="14" t="s">
        <v>91</v>
      </c>
      <c r="B76" s="117" t="s">
        <v>92</v>
      </c>
      <c r="C76" s="451" t="str">
        <f>B20</f>
        <v>Clopidogrel</v>
      </c>
      <c r="D76" s="451"/>
      <c r="E76" s="118" t="s">
        <v>93</v>
      </c>
      <c r="F76" s="118"/>
      <c r="G76" s="119">
        <f>H72</f>
        <v>1.0062397915327284</v>
      </c>
      <c r="H76" s="120"/>
    </row>
    <row r="77" spans="1:8" x14ac:dyDescent="0.3">
      <c r="A77" s="13" t="s">
        <v>94</v>
      </c>
      <c r="B77" s="13" t="s">
        <v>65</v>
      </c>
    </row>
    <row r="78" spans="1:8" x14ac:dyDescent="0.3">
      <c r="A78" s="13"/>
      <c r="B78" s="13"/>
    </row>
    <row r="79" spans="1:8" ht="26.25" customHeight="1" x14ac:dyDescent="0.4">
      <c r="A79" s="14" t="s">
        <v>12</v>
      </c>
      <c r="B79" s="452" t="str">
        <f>B26</f>
        <v>Clopidogrel Bisulphate</v>
      </c>
      <c r="C79" s="452"/>
    </row>
    <row r="80" spans="1:8" ht="26.25" customHeight="1" x14ac:dyDescent="0.4">
      <c r="A80" s="15" t="s">
        <v>13</v>
      </c>
      <c r="B80" s="452" t="str">
        <f>B27</f>
        <v>NQCL-WRS-C13-2</v>
      </c>
      <c r="C80" s="452"/>
    </row>
    <row r="81" spans="1:12" ht="27" customHeight="1" x14ac:dyDescent="0.4">
      <c r="A81" s="15" t="s">
        <v>14</v>
      </c>
      <c r="B81" s="121">
        <f>B28</f>
        <v>97.55</v>
      </c>
    </row>
    <row r="82" spans="1:12" s="3" customFormat="1" ht="27" customHeight="1" x14ac:dyDescent="0.4">
      <c r="A82" s="15" t="s">
        <v>15</v>
      </c>
      <c r="B82" s="17">
        <v>0</v>
      </c>
      <c r="C82" s="417" t="s">
        <v>16</v>
      </c>
      <c r="D82" s="418"/>
      <c r="E82" s="418"/>
      <c r="F82" s="418"/>
      <c r="G82" s="419"/>
      <c r="I82" s="18"/>
      <c r="J82" s="18"/>
      <c r="K82" s="18"/>
      <c r="L82" s="18"/>
    </row>
    <row r="83" spans="1:12" s="3" customFormat="1" ht="19.5" customHeight="1" x14ac:dyDescent="0.3">
      <c r="A83" s="15" t="s">
        <v>17</v>
      </c>
      <c r="B83" s="19">
        <f>B81-B82</f>
        <v>97.55</v>
      </c>
      <c r="C83" s="20"/>
      <c r="D83" s="20"/>
      <c r="E83" s="20"/>
      <c r="F83" s="20"/>
      <c r="G83" s="21"/>
      <c r="I83" s="18"/>
      <c r="J83" s="18"/>
      <c r="K83" s="18"/>
      <c r="L83" s="18"/>
    </row>
    <row r="84" spans="1:12" s="3" customFormat="1" ht="27" customHeight="1" x14ac:dyDescent="0.4">
      <c r="A84" s="15" t="s">
        <v>18</v>
      </c>
      <c r="B84" s="22">
        <v>321.82</v>
      </c>
      <c r="C84" s="422" t="s">
        <v>95</v>
      </c>
      <c r="D84" s="423"/>
      <c r="E84" s="423"/>
      <c r="F84" s="423"/>
      <c r="G84" s="423"/>
      <c r="H84" s="424"/>
      <c r="I84" s="18"/>
      <c r="J84" s="18"/>
      <c r="K84" s="18"/>
      <c r="L84" s="18"/>
    </row>
    <row r="85" spans="1:12" s="3" customFormat="1" ht="27" customHeight="1" x14ac:dyDescent="0.4">
      <c r="A85" s="15" t="s">
        <v>19</v>
      </c>
      <c r="B85" s="22">
        <v>419.9</v>
      </c>
      <c r="C85" s="422" t="s">
        <v>96</v>
      </c>
      <c r="D85" s="423"/>
      <c r="E85" s="423"/>
      <c r="F85" s="423"/>
      <c r="G85" s="423"/>
      <c r="H85" s="424"/>
      <c r="I85" s="18"/>
      <c r="J85" s="18"/>
      <c r="K85" s="18"/>
      <c r="L85" s="18"/>
    </row>
    <row r="86" spans="1:12" s="3" customFormat="1" x14ac:dyDescent="0.3">
      <c r="A86" s="15"/>
      <c r="B86" s="25"/>
      <c r="C86" s="26"/>
      <c r="D86" s="26"/>
      <c r="E86" s="26"/>
      <c r="F86" s="26"/>
      <c r="G86" s="26"/>
      <c r="H86" s="26"/>
      <c r="I86" s="18"/>
      <c r="J86" s="18"/>
      <c r="K86" s="18"/>
      <c r="L86" s="18"/>
    </row>
    <row r="87" spans="1:12" s="3" customFormat="1" x14ac:dyDescent="0.3">
      <c r="A87" s="15" t="s">
        <v>20</v>
      </c>
      <c r="B87" s="27">
        <f>B84/B85</f>
        <v>0.76642057632769711</v>
      </c>
      <c r="C87" s="5" t="s">
        <v>21</v>
      </c>
      <c r="D87" s="5"/>
      <c r="E87" s="5"/>
      <c r="F87" s="5"/>
      <c r="G87" s="5"/>
      <c r="I87" s="18"/>
      <c r="J87" s="18"/>
      <c r="K87" s="18"/>
      <c r="L87" s="18"/>
    </row>
    <row r="88" spans="1:12" ht="19.5" customHeight="1" x14ac:dyDescent="0.3">
      <c r="A88" s="13"/>
      <c r="B88" s="13"/>
    </row>
    <row r="89" spans="1:12" ht="27" customHeight="1" x14ac:dyDescent="0.4">
      <c r="A89" s="28" t="s">
        <v>80</v>
      </c>
      <c r="B89" s="29">
        <v>10</v>
      </c>
      <c r="D89" s="122" t="s">
        <v>22</v>
      </c>
      <c r="E89" s="123"/>
      <c r="F89" s="420" t="s">
        <v>23</v>
      </c>
      <c r="G89" s="421"/>
    </row>
    <row r="90" spans="1:12" ht="27" customHeight="1" x14ac:dyDescent="0.4">
      <c r="A90" s="30" t="s">
        <v>24</v>
      </c>
      <c r="B90" s="31">
        <v>2</v>
      </c>
      <c r="C90" s="124" t="s">
        <v>49</v>
      </c>
      <c r="D90" s="33" t="s">
        <v>25</v>
      </c>
      <c r="E90" s="34" t="s">
        <v>26</v>
      </c>
      <c r="F90" s="33" t="s">
        <v>25</v>
      </c>
      <c r="G90" s="125" t="s">
        <v>26</v>
      </c>
      <c r="I90" s="36" t="s">
        <v>81</v>
      </c>
    </row>
    <row r="91" spans="1:12" ht="26.25" customHeight="1" x14ac:dyDescent="0.4">
      <c r="A91" s="30" t="s">
        <v>27</v>
      </c>
      <c r="B91" s="31">
        <v>50</v>
      </c>
      <c r="C91" s="126">
        <v>1</v>
      </c>
      <c r="D91" s="38">
        <v>23404013</v>
      </c>
      <c r="E91" s="39">
        <f>IF(ISBLANK(D91),"-",$D$101/$D$98*D91)</f>
        <v>33949024.435427621</v>
      </c>
      <c r="F91" s="38">
        <v>28312008</v>
      </c>
      <c r="G91" s="40">
        <f>IF(ISBLANK(F91),"-",$D$101/$F$98*F91)</f>
        <v>34632296.073782116</v>
      </c>
      <c r="I91" s="41"/>
    </row>
    <row r="92" spans="1:12" ht="26.25" customHeight="1" x14ac:dyDescent="0.4">
      <c r="A92" s="30" t="s">
        <v>28</v>
      </c>
      <c r="B92" s="31">
        <v>1</v>
      </c>
      <c r="C92" s="109">
        <v>2</v>
      </c>
      <c r="D92" s="43">
        <v>24065547</v>
      </c>
      <c r="E92" s="44">
        <f>IF(ISBLANK(D92),"-",$D$101/$D$98*D92)</f>
        <v>34908622.002343439</v>
      </c>
      <c r="F92" s="43">
        <v>28609443</v>
      </c>
      <c r="G92" s="45">
        <f>IF(ISBLANK(F92),"-",$D$101/$F$98*F92)</f>
        <v>34996129.574489847</v>
      </c>
      <c r="I92" s="447">
        <f>ABS((F96/D96*D95)-F95)/D95</f>
        <v>1.6220626043078657E-2</v>
      </c>
    </row>
    <row r="93" spans="1:12" ht="26.25" customHeight="1" x14ac:dyDescent="0.4">
      <c r="A93" s="30" t="s">
        <v>29</v>
      </c>
      <c r="B93" s="31">
        <v>1</v>
      </c>
      <c r="C93" s="109">
        <v>3</v>
      </c>
      <c r="D93" s="43">
        <v>23880449</v>
      </c>
      <c r="E93" s="44">
        <f>IF(ISBLANK(D93),"-",$D$101/$D$98*D93)</f>
        <v>34640125.461816445</v>
      </c>
      <c r="F93" s="43">
        <v>28845636</v>
      </c>
      <c r="G93" s="45">
        <f>IF(ISBLANK(F93),"-",$D$101/$F$98*F93)</f>
        <v>35285049.594099723</v>
      </c>
      <c r="I93" s="447"/>
    </row>
    <row r="94" spans="1:12" ht="27" customHeight="1" x14ac:dyDescent="0.4">
      <c r="A94" s="30" t="s">
        <v>30</v>
      </c>
      <c r="B94" s="31">
        <v>1</v>
      </c>
      <c r="C94" s="127">
        <v>4</v>
      </c>
      <c r="D94" s="48"/>
      <c r="E94" s="49" t="str">
        <f>IF(ISBLANK(D94),"-",$D$101/$D$98*D94)</f>
        <v>-</v>
      </c>
      <c r="F94" s="128"/>
      <c r="G94" s="50" t="str">
        <f>IF(ISBLANK(F94),"-",$D$101/$F$98*F94)</f>
        <v>-</v>
      </c>
      <c r="I94" s="51"/>
    </row>
    <row r="95" spans="1:12" ht="27" customHeight="1" x14ac:dyDescent="0.4">
      <c r="A95" s="30" t="s">
        <v>31</v>
      </c>
      <c r="B95" s="31">
        <v>1</v>
      </c>
      <c r="C95" s="129" t="s">
        <v>32</v>
      </c>
      <c r="D95" s="130">
        <f>AVERAGE(D91:D94)</f>
        <v>23783336.333333332</v>
      </c>
      <c r="E95" s="54">
        <f>AVERAGE(E91:E94)</f>
        <v>34499257.299862497</v>
      </c>
      <c r="F95" s="131">
        <f>AVERAGE(F91:F94)</f>
        <v>28589029</v>
      </c>
      <c r="G95" s="132">
        <f>AVERAGE(G91:G94)</f>
        <v>34971158.414123893</v>
      </c>
    </row>
    <row r="96" spans="1:12" ht="26.25" customHeight="1" x14ac:dyDescent="0.4">
      <c r="A96" s="30" t="s">
        <v>33</v>
      </c>
      <c r="B96" s="16">
        <v>1</v>
      </c>
      <c r="C96" s="133" t="s">
        <v>34</v>
      </c>
      <c r="D96" s="134">
        <v>19.21</v>
      </c>
      <c r="E96" s="46"/>
      <c r="F96" s="58">
        <v>22.78</v>
      </c>
    </row>
    <row r="97" spans="1:10" ht="26.25" customHeight="1" x14ac:dyDescent="0.4">
      <c r="A97" s="30" t="s">
        <v>35</v>
      </c>
      <c r="B97" s="16">
        <v>1</v>
      </c>
      <c r="C97" s="135" t="s">
        <v>36</v>
      </c>
      <c r="D97" s="136">
        <f>D96*$B$87</f>
        <v>14.722939271255061</v>
      </c>
      <c r="E97" s="61"/>
      <c r="F97" s="60">
        <f>F96*$B$87</f>
        <v>17.459060728744941</v>
      </c>
    </row>
    <row r="98" spans="1:10" ht="19.5" customHeight="1" x14ac:dyDescent="0.3">
      <c r="A98" s="30" t="s">
        <v>37</v>
      </c>
      <c r="B98" s="137">
        <f>(B97/B96)*(B95/B94)*(B93/B92)*(B91/B90)*B89</f>
        <v>250</v>
      </c>
      <c r="C98" s="135" t="s">
        <v>38</v>
      </c>
      <c r="D98" s="138">
        <f>D97*$B$83/100</f>
        <v>14.362227259109311</v>
      </c>
      <c r="E98" s="64"/>
      <c r="F98" s="63">
        <f>F97*$B$83/100</f>
        <v>17.031313740890688</v>
      </c>
    </row>
    <row r="99" spans="1:10" ht="19.5" customHeight="1" x14ac:dyDescent="0.3">
      <c r="A99" s="430" t="s">
        <v>39</v>
      </c>
      <c r="B99" s="431"/>
      <c r="C99" s="135" t="s">
        <v>40</v>
      </c>
      <c r="D99" s="139">
        <f>D98/$B$98</f>
        <v>5.7448909036437242E-2</v>
      </c>
      <c r="E99" s="64"/>
      <c r="F99" s="67">
        <f>F98/$B$98</f>
        <v>6.8125254963562754E-2</v>
      </c>
      <c r="G99" s="140"/>
      <c r="H99" s="56"/>
    </row>
    <row r="100" spans="1:10" ht="19.5" customHeight="1" x14ac:dyDescent="0.3">
      <c r="A100" s="432"/>
      <c r="B100" s="433"/>
      <c r="C100" s="135" t="s">
        <v>86</v>
      </c>
      <c r="D100" s="141">
        <f>$B$56/$B$116</f>
        <v>8.3333333333333329E-2</v>
      </c>
      <c r="F100" s="72"/>
      <c r="G100" s="142"/>
      <c r="H100" s="56"/>
    </row>
    <row r="101" spans="1:10" x14ac:dyDescent="0.3">
      <c r="C101" s="135" t="s">
        <v>41</v>
      </c>
      <c r="D101" s="136">
        <f>D100*$B$98</f>
        <v>20.833333333333332</v>
      </c>
      <c r="F101" s="72"/>
      <c r="G101" s="140"/>
      <c r="H101" s="56"/>
    </row>
    <row r="102" spans="1:10" ht="19.5" customHeight="1" x14ac:dyDescent="0.3">
      <c r="C102" s="143" t="s">
        <v>42</v>
      </c>
      <c r="D102" s="144">
        <f>D101/B34</f>
        <v>27.182638327843719</v>
      </c>
      <c r="F102" s="76"/>
      <c r="G102" s="140"/>
      <c r="H102" s="56"/>
      <c r="J102" s="145"/>
    </row>
    <row r="103" spans="1:10" x14ac:dyDescent="0.3">
      <c r="C103" s="146" t="s">
        <v>66</v>
      </c>
      <c r="D103" s="147">
        <f>AVERAGE(E91:E94,G91:G94)</f>
        <v>34735207.856993191</v>
      </c>
      <c r="F103" s="76"/>
      <c r="G103" s="148"/>
      <c r="H103" s="56"/>
      <c r="J103" s="149"/>
    </row>
    <row r="104" spans="1:10" x14ac:dyDescent="0.3">
      <c r="C104" s="112" t="s">
        <v>44</v>
      </c>
      <c r="D104" s="150">
        <f>STDEV(E91:E94,G91:G94)/D103</f>
        <v>1.3118507853464719E-2</v>
      </c>
      <c r="F104" s="76"/>
      <c r="G104" s="140"/>
      <c r="H104" s="56"/>
      <c r="J104" s="149"/>
    </row>
    <row r="105" spans="1:10" ht="19.5" customHeight="1" x14ac:dyDescent="0.3">
      <c r="C105" s="115" t="s">
        <v>45</v>
      </c>
      <c r="D105" s="151">
        <f>COUNT(E91:E94,G91:G94)</f>
        <v>6</v>
      </c>
      <c r="F105" s="76"/>
      <c r="G105" s="140"/>
      <c r="H105" s="56"/>
      <c r="J105" s="149"/>
    </row>
    <row r="106" spans="1:10" ht="19.5" customHeight="1" x14ac:dyDescent="0.3">
      <c r="A106" s="80"/>
      <c r="B106" s="80"/>
      <c r="C106" s="80"/>
      <c r="D106" s="80"/>
      <c r="E106" s="80"/>
    </row>
    <row r="107" spans="1:10" ht="26.25" customHeight="1" x14ac:dyDescent="0.4">
      <c r="A107" s="28" t="s">
        <v>67</v>
      </c>
      <c r="B107" s="29">
        <v>900</v>
      </c>
      <c r="C107" s="152" t="s">
        <v>68</v>
      </c>
      <c r="D107" s="153" t="s">
        <v>25</v>
      </c>
      <c r="E107" s="154" t="s">
        <v>69</v>
      </c>
      <c r="F107" s="155" t="s">
        <v>70</v>
      </c>
    </row>
    <row r="108" spans="1:10" ht="26.25" customHeight="1" x14ac:dyDescent="0.4">
      <c r="A108" s="30" t="s">
        <v>52</v>
      </c>
      <c r="B108" s="31">
        <v>1</v>
      </c>
      <c r="C108" s="156">
        <v>1</v>
      </c>
      <c r="D108" s="157">
        <v>30154574</v>
      </c>
      <c r="E108" s="158">
        <f t="shared" ref="E108:E113" si="1">IF(ISBLANK(D108),"-",D108/$D$103*$D$100*$B$116)</f>
        <v>65.109529769077696</v>
      </c>
      <c r="F108" s="159">
        <f>IF(ISBLANK(D108), "-", E108/$B$56)</f>
        <v>0.86812706358770264</v>
      </c>
    </row>
    <row r="109" spans="1:10" ht="26.25" customHeight="1" x14ac:dyDescent="0.4">
      <c r="A109" s="30" t="s">
        <v>54</v>
      </c>
      <c r="B109" s="31">
        <v>1</v>
      </c>
      <c r="C109" s="156">
        <v>2</v>
      </c>
      <c r="D109" s="157">
        <v>30447757</v>
      </c>
      <c r="E109" s="160">
        <f t="shared" si="1"/>
        <v>65.742568301351042</v>
      </c>
      <c r="F109" s="161">
        <f t="shared" ref="F108:F113" si="2">IF(ISBLANK(D109), "-", E109/$B$56)</f>
        <v>0.87656757735134727</v>
      </c>
    </row>
    <row r="110" spans="1:10" ht="26.25" customHeight="1" x14ac:dyDescent="0.4">
      <c r="A110" s="30" t="s">
        <v>55</v>
      </c>
      <c r="B110" s="31">
        <v>1</v>
      </c>
      <c r="C110" s="156">
        <v>3</v>
      </c>
      <c r="D110" s="157">
        <v>30409324</v>
      </c>
      <c r="E110" s="160">
        <f t="shared" si="1"/>
        <v>65.659584056320242</v>
      </c>
      <c r="F110" s="161">
        <f>IF(ISBLANK(D110), "-", E110/$B$56)</f>
        <v>0.87546112075093652</v>
      </c>
    </row>
    <row r="111" spans="1:10" ht="26.25" customHeight="1" x14ac:dyDescent="0.4">
      <c r="A111" s="30" t="s">
        <v>56</v>
      </c>
      <c r="B111" s="31">
        <v>1</v>
      </c>
      <c r="C111" s="156">
        <v>4</v>
      </c>
      <c r="D111" s="157">
        <v>30247037</v>
      </c>
      <c r="E111" s="160">
        <f t="shared" si="1"/>
        <v>65.309175184431211</v>
      </c>
      <c r="F111" s="161">
        <f t="shared" si="2"/>
        <v>0.87078900245908286</v>
      </c>
    </row>
    <row r="112" spans="1:10" ht="26.25" customHeight="1" x14ac:dyDescent="0.4">
      <c r="A112" s="30" t="s">
        <v>57</v>
      </c>
      <c r="B112" s="31">
        <v>1</v>
      </c>
      <c r="C112" s="156">
        <v>5</v>
      </c>
      <c r="D112" s="157">
        <v>30441465</v>
      </c>
      <c r="E112" s="160">
        <f t="shared" si="1"/>
        <v>65.728982662193701</v>
      </c>
      <c r="F112" s="161">
        <f>IF(ISBLANK(D112), "-", E112/$B$56)</f>
        <v>0.87638643549591599</v>
      </c>
    </row>
    <row r="113" spans="1:10" ht="26.25" customHeight="1" x14ac:dyDescent="0.4">
      <c r="A113" s="30" t="s">
        <v>59</v>
      </c>
      <c r="B113" s="31">
        <v>1</v>
      </c>
      <c r="C113" s="162">
        <v>6</v>
      </c>
      <c r="D113" s="163">
        <v>30458375</v>
      </c>
      <c r="E113" s="164">
        <f t="shared" si="1"/>
        <v>65.76549460722714</v>
      </c>
      <c r="F113" s="165">
        <f t="shared" si="2"/>
        <v>0.87687326142969524</v>
      </c>
    </row>
    <row r="114" spans="1:10" ht="26.25" customHeight="1" x14ac:dyDescent="0.4">
      <c r="A114" s="30" t="s">
        <v>60</v>
      </c>
      <c r="B114" s="31">
        <v>1</v>
      </c>
      <c r="C114" s="156"/>
      <c r="D114" s="109"/>
      <c r="E114" s="4"/>
      <c r="F114" s="166"/>
    </row>
    <row r="115" spans="1:10" ht="26.25" customHeight="1" x14ac:dyDescent="0.4">
      <c r="A115" s="30" t="s">
        <v>61</v>
      </c>
      <c r="B115" s="31">
        <v>1</v>
      </c>
      <c r="C115" s="156"/>
      <c r="D115" s="167"/>
      <c r="E115" s="168" t="s">
        <v>32</v>
      </c>
      <c r="F115" s="169">
        <f>AVERAGE(F108:F113)</f>
        <v>0.87403407684578005</v>
      </c>
    </row>
    <row r="116" spans="1:10" ht="27" customHeight="1" x14ac:dyDescent="0.4">
      <c r="A116" s="30" t="s">
        <v>62</v>
      </c>
      <c r="B116" s="62">
        <f>(B115/B114)*(B113/B112)*(B111/B110)*(B109/B108)*B107</f>
        <v>900</v>
      </c>
      <c r="C116" s="170"/>
      <c r="D116" s="171"/>
      <c r="E116" s="129" t="s">
        <v>44</v>
      </c>
      <c r="F116" s="172">
        <f>STDEV(F108:F113)/F115</f>
        <v>4.2029235557657736E-3</v>
      </c>
      <c r="I116" s="4"/>
    </row>
    <row r="117" spans="1:10" ht="27" customHeight="1" x14ac:dyDescent="0.4">
      <c r="A117" s="430" t="s">
        <v>39</v>
      </c>
      <c r="B117" s="434"/>
      <c r="C117" s="173"/>
      <c r="D117" s="174"/>
      <c r="E117" s="175" t="s">
        <v>45</v>
      </c>
      <c r="F117" s="176">
        <f>COUNT(F108:F113)</f>
        <v>6</v>
      </c>
      <c r="I117" s="4"/>
      <c r="J117" s="149"/>
    </row>
    <row r="118" spans="1:10" ht="19.5" customHeight="1" x14ac:dyDescent="0.3">
      <c r="A118" s="432"/>
      <c r="B118" s="435"/>
      <c r="C118" s="4"/>
      <c r="D118" s="4"/>
      <c r="E118" s="4"/>
      <c r="F118" s="109"/>
      <c r="G118" s="4"/>
      <c r="H118" s="4"/>
      <c r="I118" s="4"/>
    </row>
    <row r="119" spans="1:10" x14ac:dyDescent="0.3">
      <c r="A119" s="185"/>
      <c r="B119" s="26"/>
      <c r="C119" s="4"/>
      <c r="D119" s="4"/>
      <c r="E119" s="4"/>
      <c r="F119" s="109"/>
      <c r="G119" s="4"/>
      <c r="H119" s="4"/>
      <c r="I119" s="4"/>
    </row>
    <row r="120" spans="1:10" ht="26.25" customHeight="1" x14ac:dyDescent="0.4">
      <c r="A120" s="14" t="s">
        <v>91</v>
      </c>
      <c r="B120" s="117" t="s">
        <v>97</v>
      </c>
      <c r="C120" s="451" t="str">
        <f>B20</f>
        <v>Clopidogrel</v>
      </c>
      <c r="D120" s="451"/>
      <c r="E120" s="118" t="s">
        <v>98</v>
      </c>
      <c r="F120" s="118"/>
      <c r="G120" s="119">
        <f>F115</f>
        <v>0.87403407684578005</v>
      </c>
      <c r="H120" s="4"/>
      <c r="I120" s="4"/>
    </row>
    <row r="121" spans="1:10" ht="19.5" customHeight="1" x14ac:dyDescent="0.3">
      <c r="A121" s="177"/>
      <c r="B121" s="177"/>
      <c r="C121" s="178"/>
      <c r="D121" s="178"/>
      <c r="E121" s="178"/>
      <c r="F121" s="178"/>
      <c r="G121" s="178"/>
      <c r="H121" s="178"/>
    </row>
    <row r="122" spans="1:10" x14ac:dyDescent="0.3">
      <c r="B122" s="416" t="s">
        <v>71</v>
      </c>
      <c r="C122" s="416"/>
      <c r="E122" s="124" t="s">
        <v>72</v>
      </c>
      <c r="F122" s="179"/>
      <c r="G122" s="416" t="s">
        <v>73</v>
      </c>
      <c r="H122" s="416"/>
    </row>
    <row r="123" spans="1:10" x14ac:dyDescent="0.3">
      <c r="A123" s="180" t="s">
        <v>74</v>
      </c>
      <c r="B123" s="181"/>
      <c r="C123" s="181"/>
      <c r="E123" s="181"/>
      <c r="F123" s="4"/>
      <c r="G123" s="182"/>
      <c r="H123" s="182"/>
    </row>
    <row r="124" spans="1:10" x14ac:dyDescent="0.3">
      <c r="A124" s="180" t="s">
        <v>75</v>
      </c>
      <c r="B124" s="183"/>
      <c r="C124" s="183"/>
      <c r="E124" s="183"/>
      <c r="F124" s="4"/>
      <c r="G124" s="184"/>
      <c r="H124" s="184"/>
    </row>
    <row r="125" spans="1:10" x14ac:dyDescent="0.3">
      <c r="A125" s="108"/>
      <c r="B125" s="108"/>
      <c r="C125" s="109"/>
      <c r="D125" s="109"/>
      <c r="E125" s="109"/>
      <c r="F125" s="114"/>
      <c r="G125" s="109"/>
      <c r="H125" s="109"/>
      <c r="I125" s="4"/>
    </row>
    <row r="126" spans="1:10" x14ac:dyDescent="0.3">
      <c r="A126" s="108"/>
      <c r="B126" s="108"/>
      <c r="C126" s="109"/>
      <c r="D126" s="109"/>
      <c r="E126" s="109"/>
      <c r="F126" s="114"/>
      <c r="G126" s="109"/>
      <c r="H126" s="109"/>
      <c r="I126" s="4"/>
    </row>
    <row r="127" spans="1:10" x14ac:dyDescent="0.3">
      <c r="A127" s="108"/>
      <c r="B127" s="108"/>
      <c r="C127" s="109"/>
      <c r="D127" s="109"/>
      <c r="E127" s="109"/>
      <c r="F127" s="114"/>
      <c r="G127" s="109"/>
      <c r="H127" s="109"/>
      <c r="I127" s="4"/>
    </row>
    <row r="128" spans="1:10" x14ac:dyDescent="0.3">
      <c r="A128" s="108"/>
      <c r="B128" s="108"/>
      <c r="C128" s="109"/>
      <c r="D128" s="109"/>
      <c r="E128" s="109"/>
      <c r="F128" s="114"/>
      <c r="G128" s="109"/>
      <c r="H128" s="109"/>
      <c r="I128" s="4"/>
    </row>
    <row r="129" spans="1:9" x14ac:dyDescent="0.3">
      <c r="A129" s="108"/>
      <c r="B129" s="108"/>
      <c r="C129" s="109"/>
      <c r="D129" s="109"/>
      <c r="E129" s="109"/>
      <c r="F129" s="114"/>
      <c r="G129" s="109"/>
      <c r="H129" s="109"/>
      <c r="I129" s="4"/>
    </row>
    <row r="130" spans="1:9" x14ac:dyDescent="0.3">
      <c r="A130" s="108"/>
      <c r="B130" s="108"/>
      <c r="C130" s="109"/>
      <c r="D130" s="109"/>
      <c r="E130" s="109"/>
      <c r="F130" s="114"/>
      <c r="G130" s="109"/>
      <c r="H130" s="109"/>
      <c r="I130" s="4"/>
    </row>
    <row r="131" spans="1:9" x14ac:dyDescent="0.3">
      <c r="A131" s="108"/>
      <c r="B131" s="108"/>
      <c r="C131" s="109"/>
      <c r="D131" s="109"/>
      <c r="E131" s="109"/>
      <c r="F131" s="114"/>
      <c r="G131" s="109"/>
      <c r="H131" s="109"/>
      <c r="I131" s="4"/>
    </row>
    <row r="132" spans="1:9" x14ac:dyDescent="0.3">
      <c r="A132" s="108"/>
      <c r="B132" s="108"/>
      <c r="C132" s="109"/>
      <c r="D132" s="109"/>
      <c r="E132" s="109"/>
      <c r="F132" s="114"/>
      <c r="G132" s="109"/>
      <c r="H132" s="109"/>
      <c r="I132" s="4"/>
    </row>
    <row r="133" spans="1:9" x14ac:dyDescent="0.3">
      <c r="A133" s="108"/>
      <c r="B133" s="108"/>
      <c r="C133" s="109"/>
      <c r="D133" s="109"/>
      <c r="E133" s="109"/>
      <c r="F133" s="114"/>
      <c r="G133" s="109"/>
      <c r="H133" s="109"/>
      <c r="I133" s="4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36" priority="1" operator="greaterThan">
      <formula>0.02</formula>
    </cfRule>
  </conditionalFormatting>
  <conditionalFormatting sqref="D51">
    <cfRule type="cellIs" dxfId="35" priority="2" operator="greaterThan">
      <formula>0.02</formula>
    </cfRule>
  </conditionalFormatting>
  <conditionalFormatting sqref="H73">
    <cfRule type="cellIs" dxfId="34" priority="3" operator="greaterThan">
      <formula>0.02</formula>
    </cfRule>
  </conditionalFormatting>
  <conditionalFormatting sqref="D104">
    <cfRule type="cellIs" dxfId="33" priority="4" operator="greaterThan">
      <formula>0.02</formula>
    </cfRule>
  </conditionalFormatting>
  <conditionalFormatting sqref="I39">
    <cfRule type="cellIs" dxfId="32" priority="5" operator="lessThanOrEqual">
      <formula>0.02</formula>
    </cfRule>
  </conditionalFormatting>
  <conditionalFormatting sqref="I39">
    <cfRule type="cellIs" dxfId="31" priority="6" operator="greaterThan">
      <formula>0.02</formula>
    </cfRule>
  </conditionalFormatting>
  <conditionalFormatting sqref="I92">
    <cfRule type="cellIs" dxfId="30" priority="7" operator="lessThanOrEqual">
      <formula>0.02</formula>
    </cfRule>
  </conditionalFormatting>
  <conditionalFormatting sqref="I92">
    <cfRule type="cellIs" dxfId="29" priority="8" operator="greaterThan">
      <formula>0.02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90" zoomScaleNormal="100" zoomScaleSheetLayoutView="90" workbookViewId="0">
      <selection activeCell="B22" sqref="B22"/>
    </sheetView>
  </sheetViews>
  <sheetFormatPr defaultRowHeight="13.5" x14ac:dyDescent="0.25"/>
  <cols>
    <col min="1" max="1" width="27.5703125" style="462" customWidth="1"/>
    <col min="2" max="2" width="31.42578125" style="462" customWidth="1"/>
    <col min="3" max="3" width="31.85546875" style="462" customWidth="1"/>
    <col min="4" max="4" width="25.85546875" style="462" customWidth="1"/>
    <col min="5" max="5" width="25.7109375" style="462" customWidth="1"/>
    <col min="6" max="6" width="23.140625" style="462" customWidth="1"/>
    <col min="7" max="7" width="28.42578125" style="462" customWidth="1"/>
    <col min="8" max="8" width="21.5703125" style="462" customWidth="1"/>
    <col min="9" max="9" width="9.140625" style="462" customWidth="1"/>
    <col min="10" max="16384" width="9.140625" style="503"/>
  </cols>
  <sheetData>
    <row r="14" spans="1:6" ht="15" customHeight="1" x14ac:dyDescent="0.3">
      <c r="A14" s="461"/>
      <c r="C14" s="463"/>
      <c r="F14" s="463"/>
    </row>
    <row r="15" spans="1:6" ht="18.75" customHeight="1" x14ac:dyDescent="0.3">
      <c r="A15" s="464" t="s">
        <v>108</v>
      </c>
      <c r="B15" s="464"/>
      <c r="C15" s="464"/>
      <c r="D15" s="464"/>
      <c r="E15" s="464"/>
    </row>
    <row r="16" spans="1:6" ht="16.5" customHeight="1" x14ac:dyDescent="0.3">
      <c r="A16" s="465" t="s">
        <v>11</v>
      </c>
      <c r="B16" s="466" t="s">
        <v>109</v>
      </c>
    </row>
    <row r="17" spans="1:5" ht="16.5" customHeight="1" x14ac:dyDescent="0.3">
      <c r="A17" s="467" t="s">
        <v>110</v>
      </c>
      <c r="B17" s="467" t="s">
        <v>125</v>
      </c>
      <c r="D17" s="468"/>
      <c r="E17" s="469"/>
    </row>
    <row r="18" spans="1:5" ht="16.5" customHeight="1" x14ac:dyDescent="0.3">
      <c r="A18" s="470" t="s">
        <v>12</v>
      </c>
      <c r="B18" s="467" t="s">
        <v>106</v>
      </c>
      <c r="C18" s="469"/>
      <c r="D18" s="469"/>
      <c r="E18" s="469"/>
    </row>
    <row r="19" spans="1:5" ht="16.5" customHeight="1" x14ac:dyDescent="0.3">
      <c r="A19" s="470" t="s">
        <v>14</v>
      </c>
      <c r="B19" s="471">
        <v>99.08</v>
      </c>
      <c r="C19" s="469"/>
      <c r="D19" s="469"/>
      <c r="E19" s="469"/>
    </row>
    <row r="20" spans="1:5" ht="16.5" customHeight="1" x14ac:dyDescent="0.3">
      <c r="A20" s="467" t="s">
        <v>111</v>
      </c>
      <c r="B20" s="471">
        <v>15.31</v>
      </c>
      <c r="C20" s="469"/>
      <c r="D20" s="469"/>
      <c r="E20" s="469"/>
    </row>
    <row r="21" spans="1:5" ht="16.5" customHeight="1" x14ac:dyDescent="0.3">
      <c r="A21" s="467" t="s">
        <v>112</v>
      </c>
      <c r="B21" s="472">
        <f>B20/100*10/20</f>
        <v>7.6550000000000007E-2</v>
      </c>
      <c r="C21" s="469"/>
      <c r="D21" s="469"/>
      <c r="E21" s="469"/>
    </row>
    <row r="22" spans="1:5" ht="15.75" customHeight="1" x14ac:dyDescent="0.25">
      <c r="A22" s="469"/>
      <c r="B22" s="473"/>
      <c r="C22" s="469"/>
      <c r="D22" s="469"/>
      <c r="E22" s="469"/>
    </row>
    <row r="23" spans="1:5" ht="16.5" customHeight="1" x14ac:dyDescent="0.3">
      <c r="A23" s="474" t="s">
        <v>113</v>
      </c>
      <c r="B23" s="475" t="s">
        <v>114</v>
      </c>
      <c r="C23" s="474" t="s">
        <v>115</v>
      </c>
      <c r="D23" s="474" t="s">
        <v>116</v>
      </c>
      <c r="E23" s="474" t="s">
        <v>117</v>
      </c>
    </row>
    <row r="24" spans="1:5" ht="16.5" customHeight="1" x14ac:dyDescent="0.3">
      <c r="A24" s="476">
        <v>1</v>
      </c>
      <c r="B24" s="477">
        <v>22840721</v>
      </c>
      <c r="C24" s="477">
        <v>6248.19</v>
      </c>
      <c r="D24" s="478">
        <v>1.1100000000000001</v>
      </c>
      <c r="E24" s="479">
        <v>2.27</v>
      </c>
    </row>
    <row r="25" spans="1:5" ht="16.5" customHeight="1" x14ac:dyDescent="0.3">
      <c r="A25" s="476">
        <v>2</v>
      </c>
      <c r="B25" s="477">
        <v>22562778</v>
      </c>
      <c r="C25" s="477">
        <v>6262.87</v>
      </c>
      <c r="D25" s="478">
        <v>1.08</v>
      </c>
      <c r="E25" s="478">
        <v>2.27</v>
      </c>
    </row>
    <row r="26" spans="1:5" ht="16.5" customHeight="1" x14ac:dyDescent="0.3">
      <c r="A26" s="476">
        <v>3</v>
      </c>
      <c r="B26" s="477">
        <v>22525799</v>
      </c>
      <c r="C26" s="477">
        <v>6217.23</v>
      </c>
      <c r="D26" s="478">
        <v>1.1100000000000001</v>
      </c>
      <c r="E26" s="478">
        <v>2.27</v>
      </c>
    </row>
    <row r="27" spans="1:5" ht="16.5" customHeight="1" x14ac:dyDescent="0.3">
      <c r="A27" s="476">
        <v>4</v>
      </c>
      <c r="B27" s="477">
        <v>22897588</v>
      </c>
      <c r="C27" s="477">
        <v>6265.31</v>
      </c>
      <c r="D27" s="478">
        <v>1.1000000000000001</v>
      </c>
      <c r="E27" s="478">
        <v>2.27</v>
      </c>
    </row>
    <row r="28" spans="1:5" ht="16.5" customHeight="1" x14ac:dyDescent="0.3">
      <c r="A28" s="476">
        <v>5</v>
      </c>
      <c r="B28" s="477">
        <v>22613658</v>
      </c>
      <c r="C28" s="477">
        <v>6241.03</v>
      </c>
      <c r="D28" s="478">
        <v>1.1499999999999999</v>
      </c>
      <c r="E28" s="478">
        <v>2.27</v>
      </c>
    </row>
    <row r="29" spans="1:5" ht="16.5" customHeight="1" x14ac:dyDescent="0.3">
      <c r="A29" s="476">
        <v>6</v>
      </c>
      <c r="B29" s="480">
        <v>22656953</v>
      </c>
      <c r="C29" s="480">
        <v>6244.35</v>
      </c>
      <c r="D29" s="481">
        <v>1.1200000000000001</v>
      </c>
      <c r="E29" s="481">
        <v>2.27</v>
      </c>
    </row>
    <row r="30" spans="1:5" ht="16.5" customHeight="1" x14ac:dyDescent="0.3">
      <c r="A30" s="482" t="s">
        <v>118</v>
      </c>
      <c r="B30" s="483">
        <f>AVERAGE(B24:B29)</f>
        <v>22682916.166666668</v>
      </c>
      <c r="C30" s="484">
        <f>AVERAGE(C24:C29)</f>
        <v>6246.4966666666669</v>
      </c>
      <c r="D30" s="485">
        <f>AVERAGE(D24:D29)</f>
        <v>1.1116666666666668</v>
      </c>
      <c r="E30" s="485">
        <f>AVERAGE(E24:E29)</f>
        <v>2.27</v>
      </c>
    </row>
    <row r="31" spans="1:5" ht="16.5" customHeight="1" x14ac:dyDescent="0.3">
      <c r="A31" s="486" t="s">
        <v>119</v>
      </c>
      <c r="B31" s="487">
        <f>(STDEV(B24:B29)/B30)</f>
        <v>6.7027060482090428E-3</v>
      </c>
      <c r="C31" s="488"/>
      <c r="D31" s="488"/>
      <c r="E31" s="489"/>
    </row>
    <row r="32" spans="1:5" s="462" customFormat="1" ht="16.5" customHeight="1" x14ac:dyDescent="0.3">
      <c r="A32" s="490" t="s">
        <v>45</v>
      </c>
      <c r="B32" s="491">
        <f>COUNT(B24:B29)</f>
        <v>6</v>
      </c>
      <c r="C32" s="492"/>
      <c r="D32" s="493"/>
      <c r="E32" s="494"/>
    </row>
    <row r="33" spans="1:5" s="462" customFormat="1" ht="15.75" customHeight="1" x14ac:dyDescent="0.25">
      <c r="A33" s="469"/>
      <c r="B33" s="469"/>
      <c r="C33" s="469"/>
      <c r="D33" s="469"/>
      <c r="E33" s="469"/>
    </row>
    <row r="34" spans="1:5" s="462" customFormat="1" ht="16.5" customHeight="1" x14ac:dyDescent="0.3">
      <c r="A34" s="470" t="s">
        <v>120</v>
      </c>
      <c r="B34" s="495" t="s">
        <v>121</v>
      </c>
      <c r="C34" s="496"/>
      <c r="D34" s="496"/>
      <c r="E34" s="496"/>
    </row>
    <row r="35" spans="1:5" ht="16.5" customHeight="1" x14ac:dyDescent="0.3">
      <c r="A35" s="470"/>
      <c r="B35" s="495" t="s">
        <v>122</v>
      </c>
      <c r="C35" s="496"/>
      <c r="D35" s="496"/>
      <c r="E35" s="496"/>
    </row>
    <row r="36" spans="1:5" ht="16.5" customHeight="1" x14ac:dyDescent="0.3">
      <c r="A36" s="470"/>
      <c r="B36" s="495" t="s">
        <v>123</v>
      </c>
      <c r="C36" s="496"/>
      <c r="D36" s="496"/>
      <c r="E36" s="496"/>
    </row>
    <row r="37" spans="1:5" ht="15.75" customHeight="1" x14ac:dyDescent="0.25">
      <c r="A37" s="469"/>
      <c r="B37" s="469"/>
      <c r="C37" s="469"/>
      <c r="D37" s="469"/>
      <c r="E37" s="469"/>
    </row>
    <row r="38" spans="1:5" ht="16.5" customHeight="1" x14ac:dyDescent="0.3">
      <c r="A38" s="465" t="s">
        <v>11</v>
      </c>
      <c r="B38" s="466" t="s">
        <v>124</v>
      </c>
    </row>
    <row r="39" spans="1:5" ht="16.5" customHeight="1" x14ac:dyDescent="0.3">
      <c r="A39" s="470" t="s">
        <v>12</v>
      </c>
      <c r="B39" s="467"/>
      <c r="C39" s="469"/>
      <c r="D39" s="469"/>
      <c r="E39" s="469"/>
    </row>
    <row r="40" spans="1:5" ht="16.5" customHeight="1" x14ac:dyDescent="0.3">
      <c r="A40" s="470" t="s">
        <v>14</v>
      </c>
      <c r="B40" s="471"/>
      <c r="C40" s="469"/>
      <c r="D40" s="469"/>
      <c r="E40" s="469"/>
    </row>
    <row r="41" spans="1:5" ht="16.5" customHeight="1" x14ac:dyDescent="0.3">
      <c r="A41" s="467" t="s">
        <v>111</v>
      </c>
      <c r="B41" s="471"/>
      <c r="C41" s="469"/>
      <c r="D41" s="469"/>
      <c r="E41" s="469"/>
    </row>
    <row r="42" spans="1:5" ht="16.5" customHeight="1" x14ac:dyDescent="0.3">
      <c r="A42" s="467" t="s">
        <v>112</v>
      </c>
      <c r="B42" s="472"/>
      <c r="C42" s="469"/>
      <c r="D42" s="469"/>
      <c r="E42" s="469"/>
    </row>
    <row r="43" spans="1:5" ht="15.75" customHeight="1" x14ac:dyDescent="0.25">
      <c r="A43" s="469"/>
      <c r="B43" s="469"/>
      <c r="C43" s="469"/>
      <c r="D43" s="469"/>
      <c r="E43" s="469"/>
    </row>
    <row r="44" spans="1:5" ht="16.5" customHeight="1" x14ac:dyDescent="0.3">
      <c r="A44" s="474" t="s">
        <v>113</v>
      </c>
      <c r="B44" s="497" t="s">
        <v>114</v>
      </c>
      <c r="C44" s="474" t="s">
        <v>115</v>
      </c>
      <c r="D44" s="474" t="s">
        <v>116</v>
      </c>
      <c r="E44" s="474" t="s">
        <v>117</v>
      </c>
    </row>
    <row r="45" spans="1:5" ht="16.5" customHeight="1" x14ac:dyDescent="0.3">
      <c r="A45" s="498">
        <v>1</v>
      </c>
      <c r="B45" s="477">
        <v>22840721</v>
      </c>
      <c r="C45" s="477">
        <v>6248.19</v>
      </c>
      <c r="D45" s="478">
        <v>1.1100000000000001</v>
      </c>
      <c r="E45" s="479">
        <v>2.27</v>
      </c>
    </row>
    <row r="46" spans="1:5" ht="16.5" customHeight="1" x14ac:dyDescent="0.3">
      <c r="A46" s="498">
        <v>2</v>
      </c>
      <c r="B46" s="477">
        <v>22562778</v>
      </c>
      <c r="C46" s="477">
        <v>6262.87</v>
      </c>
      <c r="D46" s="478">
        <v>1.08</v>
      </c>
      <c r="E46" s="478">
        <v>2.27</v>
      </c>
    </row>
    <row r="47" spans="1:5" ht="16.5" customHeight="1" x14ac:dyDescent="0.3">
      <c r="A47" s="498">
        <v>3</v>
      </c>
      <c r="B47" s="477">
        <v>22525799</v>
      </c>
      <c r="C47" s="477">
        <v>6217.23</v>
      </c>
      <c r="D47" s="478">
        <v>1.1100000000000001</v>
      </c>
      <c r="E47" s="478">
        <v>2.27</v>
      </c>
    </row>
    <row r="48" spans="1:5" ht="16.5" customHeight="1" x14ac:dyDescent="0.3">
      <c r="A48" s="498">
        <v>4</v>
      </c>
      <c r="B48" s="477">
        <v>22897588</v>
      </c>
      <c r="C48" s="477">
        <v>6265.31</v>
      </c>
      <c r="D48" s="478">
        <v>1.1000000000000001</v>
      </c>
      <c r="E48" s="478">
        <v>2.27</v>
      </c>
    </row>
    <row r="49" spans="1:7" ht="16.5" customHeight="1" x14ac:dyDescent="0.3">
      <c r="A49" s="498">
        <v>5</v>
      </c>
      <c r="B49" s="477">
        <v>22613658</v>
      </c>
      <c r="C49" s="477">
        <v>6241.03</v>
      </c>
      <c r="D49" s="478">
        <v>1.1499999999999999</v>
      </c>
      <c r="E49" s="478">
        <v>2.27</v>
      </c>
    </row>
    <row r="50" spans="1:7" ht="16.5" customHeight="1" x14ac:dyDescent="0.3">
      <c r="A50" s="498">
        <v>6</v>
      </c>
      <c r="B50" s="480">
        <v>22656953</v>
      </c>
      <c r="C50" s="480">
        <v>6244.35</v>
      </c>
      <c r="D50" s="481">
        <v>1.1200000000000001</v>
      </c>
      <c r="E50" s="481">
        <v>2.27</v>
      </c>
    </row>
    <row r="51" spans="1:7" ht="16.5" customHeight="1" x14ac:dyDescent="0.3">
      <c r="A51" s="482" t="s">
        <v>118</v>
      </c>
      <c r="B51" s="499">
        <f>AVERAGE(B45:B50)</f>
        <v>22682916.166666668</v>
      </c>
      <c r="C51" s="484">
        <f>AVERAGE(C45:C50)</f>
        <v>6246.4966666666669</v>
      </c>
      <c r="D51" s="485">
        <f>AVERAGE(D45:D50)</f>
        <v>1.1116666666666668</v>
      </c>
      <c r="E51" s="485">
        <f>AVERAGE(E45:E50)</f>
        <v>2.27</v>
      </c>
    </row>
    <row r="52" spans="1:7" ht="16.5" customHeight="1" x14ac:dyDescent="0.3">
      <c r="A52" s="486" t="s">
        <v>119</v>
      </c>
      <c r="B52" s="487">
        <f>(STDEV(B45:B50)/B51)</f>
        <v>6.7027060482090428E-3</v>
      </c>
      <c r="C52" s="488"/>
      <c r="D52" s="488"/>
      <c r="E52" s="489"/>
    </row>
    <row r="53" spans="1:7" s="462" customFormat="1" ht="16.5" customHeight="1" x14ac:dyDescent="0.3">
      <c r="A53" s="490" t="s">
        <v>45</v>
      </c>
      <c r="B53" s="491">
        <f>COUNT(B45:B50)</f>
        <v>6</v>
      </c>
      <c r="C53" s="492"/>
      <c r="D53" s="493"/>
      <c r="E53" s="494"/>
    </row>
    <row r="54" spans="1:7" s="462" customFormat="1" ht="15.75" customHeight="1" x14ac:dyDescent="0.25">
      <c r="A54" s="469"/>
      <c r="B54" s="469"/>
      <c r="C54" s="469"/>
      <c r="D54" s="469"/>
      <c r="E54" s="469"/>
    </row>
    <row r="55" spans="1:7" s="462" customFormat="1" ht="16.5" customHeight="1" x14ac:dyDescent="0.3">
      <c r="A55" s="470" t="s">
        <v>120</v>
      </c>
      <c r="B55" s="495" t="s">
        <v>121</v>
      </c>
      <c r="C55" s="496"/>
      <c r="D55" s="496"/>
      <c r="E55" s="496"/>
    </row>
    <row r="56" spans="1:7" ht="16.5" customHeight="1" x14ac:dyDescent="0.3">
      <c r="A56" s="470"/>
      <c r="B56" s="495" t="s">
        <v>122</v>
      </c>
      <c r="C56" s="496"/>
      <c r="D56" s="496"/>
      <c r="E56" s="496"/>
    </row>
    <row r="57" spans="1:7" ht="16.5" customHeight="1" x14ac:dyDescent="0.3">
      <c r="A57" s="470"/>
      <c r="B57" s="495" t="s">
        <v>123</v>
      </c>
      <c r="C57" s="496"/>
      <c r="D57" s="496"/>
      <c r="E57" s="496"/>
    </row>
    <row r="58" spans="1:7" ht="14.25" customHeight="1" thickBot="1" x14ac:dyDescent="0.3">
      <c r="A58" s="500"/>
      <c r="B58" s="501"/>
      <c r="D58" s="502"/>
      <c r="F58" s="503"/>
      <c r="G58" s="503"/>
    </row>
    <row r="59" spans="1:7" ht="15" customHeight="1" x14ac:dyDescent="0.3">
      <c r="B59" s="504" t="s">
        <v>71</v>
      </c>
      <c r="C59" s="504"/>
      <c r="E59" s="505" t="s">
        <v>72</v>
      </c>
      <c r="F59" s="506"/>
      <c r="G59" s="505" t="s">
        <v>73</v>
      </c>
    </row>
    <row r="60" spans="1:7" ht="15" customHeight="1" x14ac:dyDescent="0.3">
      <c r="A60" s="507" t="s">
        <v>74</v>
      </c>
      <c r="B60" s="508" t="s">
        <v>127</v>
      </c>
      <c r="C60" s="508"/>
      <c r="E60" s="511">
        <v>42070</v>
      </c>
      <c r="G60" s="508"/>
    </row>
    <row r="61" spans="1:7" ht="15" customHeight="1" x14ac:dyDescent="0.3">
      <c r="A61" s="507" t="s">
        <v>75</v>
      </c>
      <c r="B61" s="509"/>
      <c r="C61" s="509"/>
      <c r="E61" s="509"/>
      <c r="G61" s="51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N250"/>
  <sheetViews>
    <sheetView tabSelected="1" topLeftCell="A78" zoomScale="60" zoomScaleNormal="60" workbookViewId="0">
      <selection activeCell="F113" sqref="F113"/>
    </sheetView>
  </sheetViews>
  <sheetFormatPr defaultColWidth="9.140625" defaultRowHeight="18.75" x14ac:dyDescent="0.3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5" spans="1:8" ht="19.5" customHeight="1" x14ac:dyDescent="0.3">
      <c r="A15" s="187"/>
    </row>
    <row r="16" spans="1:8" ht="19.5" customHeight="1" x14ac:dyDescent="0.3">
      <c r="A16" s="441" t="s">
        <v>76</v>
      </c>
      <c r="B16" s="442"/>
      <c r="C16" s="442"/>
      <c r="D16" s="442"/>
      <c r="E16" s="442"/>
      <c r="F16" s="442"/>
      <c r="G16" s="442"/>
      <c r="H16" s="443"/>
    </row>
    <row r="17" spans="1:14" ht="20.25" customHeight="1" x14ac:dyDescent="0.3">
      <c r="A17" s="444" t="s">
        <v>0</v>
      </c>
      <c r="B17" s="444"/>
      <c r="C17" s="444"/>
      <c r="D17" s="444"/>
      <c r="E17" s="444"/>
      <c r="F17" s="444"/>
      <c r="G17" s="444"/>
      <c r="H17" s="444"/>
    </row>
    <row r="18" spans="1:14" ht="26.25" customHeight="1" x14ac:dyDescent="0.4">
      <c r="A18" s="189" t="s">
        <v>1</v>
      </c>
      <c r="B18" s="440" t="s">
        <v>2</v>
      </c>
      <c r="C18" s="440"/>
      <c r="D18" s="369"/>
      <c r="E18" s="190"/>
      <c r="F18" s="191"/>
      <c r="G18" s="191"/>
      <c r="H18" s="191"/>
    </row>
    <row r="19" spans="1:14" ht="26.25" customHeight="1" x14ac:dyDescent="0.4">
      <c r="A19" s="189" t="s">
        <v>3</v>
      </c>
      <c r="B19" s="192" t="s">
        <v>4</v>
      </c>
      <c r="C19" s="191">
        <v>1</v>
      </c>
      <c r="D19" s="191"/>
      <c r="E19" s="191"/>
      <c r="F19" s="191"/>
      <c r="G19" s="191"/>
      <c r="H19" s="191"/>
    </row>
    <row r="20" spans="1:14" ht="26.25" customHeight="1" x14ac:dyDescent="0.4">
      <c r="A20" s="189" t="s">
        <v>5</v>
      </c>
      <c r="B20" s="445" t="s">
        <v>106</v>
      </c>
      <c r="C20" s="445"/>
      <c r="D20" s="191"/>
      <c r="E20" s="191"/>
      <c r="F20" s="191"/>
      <c r="G20" s="191"/>
      <c r="H20" s="191"/>
    </row>
    <row r="21" spans="1:14" ht="26.25" customHeight="1" x14ac:dyDescent="0.4">
      <c r="A21" s="189" t="s">
        <v>7</v>
      </c>
      <c r="B21" s="445" t="s">
        <v>131</v>
      </c>
      <c r="C21" s="445"/>
      <c r="D21" s="445"/>
      <c r="E21" s="445"/>
      <c r="F21" s="445"/>
      <c r="G21" s="445"/>
      <c r="H21" s="445"/>
      <c r="I21" s="193"/>
    </row>
    <row r="22" spans="1:14" ht="26.25" customHeight="1" x14ac:dyDescent="0.4">
      <c r="A22" s="189" t="s">
        <v>8</v>
      </c>
      <c r="B22" s="194">
        <v>42186</v>
      </c>
      <c r="C22" s="191"/>
      <c r="D22" s="191"/>
      <c r="E22" s="191"/>
      <c r="F22" s="191"/>
      <c r="G22" s="191"/>
      <c r="H22" s="191"/>
    </row>
    <row r="23" spans="1:14" ht="26.25" customHeight="1" x14ac:dyDescent="0.4">
      <c r="A23" s="189" t="s">
        <v>10</v>
      </c>
      <c r="B23" s="194">
        <v>42188</v>
      </c>
      <c r="C23" s="191"/>
      <c r="D23" s="191"/>
      <c r="E23" s="191"/>
      <c r="F23" s="191"/>
      <c r="G23" s="191"/>
      <c r="H23" s="191"/>
    </row>
    <row r="24" spans="1:14" x14ac:dyDescent="0.3">
      <c r="A24" s="189"/>
      <c r="B24" s="195"/>
    </row>
    <row r="25" spans="1:14" x14ac:dyDescent="0.3">
      <c r="A25" s="196" t="s">
        <v>11</v>
      </c>
      <c r="B25" s="195"/>
    </row>
    <row r="26" spans="1:14" ht="26.25" customHeight="1" x14ac:dyDescent="0.4">
      <c r="A26" s="197" t="s">
        <v>12</v>
      </c>
      <c r="B26" s="440" t="s">
        <v>106</v>
      </c>
      <c r="C26" s="440"/>
    </row>
    <row r="27" spans="1:14" ht="26.25" customHeight="1" x14ac:dyDescent="0.4">
      <c r="A27" s="198" t="s">
        <v>13</v>
      </c>
      <c r="B27" s="446" t="s">
        <v>107</v>
      </c>
      <c r="C27" s="446"/>
    </row>
    <row r="28" spans="1:14" ht="27" customHeight="1" x14ac:dyDescent="0.4">
      <c r="A28" s="198" t="s">
        <v>14</v>
      </c>
      <c r="B28" s="199">
        <v>99.08</v>
      </c>
    </row>
    <row r="29" spans="1:14" s="3" customFormat="1" ht="27" customHeight="1" x14ac:dyDescent="0.4">
      <c r="A29" s="198" t="s">
        <v>15</v>
      </c>
      <c r="B29" s="200">
        <v>0</v>
      </c>
      <c r="C29" s="417" t="s">
        <v>16</v>
      </c>
      <c r="D29" s="418"/>
      <c r="E29" s="418"/>
      <c r="F29" s="418"/>
      <c r="G29" s="419"/>
      <c r="I29" s="201"/>
      <c r="J29" s="201"/>
      <c r="K29" s="201"/>
      <c r="L29" s="201"/>
    </row>
    <row r="30" spans="1:14" s="3" customFormat="1" ht="19.5" customHeight="1" x14ac:dyDescent="0.3">
      <c r="A30" s="198" t="s">
        <v>17</v>
      </c>
      <c r="B30" s="202">
        <f>B28-B29</f>
        <v>99.08</v>
      </c>
      <c r="C30" s="203"/>
      <c r="D30" s="203"/>
      <c r="E30" s="203"/>
      <c r="F30" s="203"/>
      <c r="G30" s="204"/>
      <c r="I30" s="201"/>
      <c r="J30" s="201"/>
      <c r="K30" s="201"/>
      <c r="L30" s="201"/>
    </row>
    <row r="31" spans="1:14" s="3" customFormat="1" ht="27" customHeight="1" x14ac:dyDescent="0.4">
      <c r="A31" s="198" t="s">
        <v>18</v>
      </c>
      <c r="B31" s="205">
        <v>1</v>
      </c>
      <c r="C31" s="422" t="s">
        <v>78</v>
      </c>
      <c r="D31" s="423"/>
      <c r="E31" s="423"/>
      <c r="F31" s="423"/>
      <c r="G31" s="423"/>
      <c r="H31" s="424"/>
      <c r="I31" s="201"/>
      <c r="J31" s="201"/>
      <c r="K31" s="201"/>
      <c r="L31" s="201"/>
    </row>
    <row r="32" spans="1:14" s="3" customFormat="1" ht="27" customHeight="1" x14ac:dyDescent="0.4">
      <c r="A32" s="198" t="s">
        <v>19</v>
      </c>
      <c r="B32" s="205">
        <v>1</v>
      </c>
      <c r="C32" s="422" t="s">
        <v>79</v>
      </c>
      <c r="D32" s="423"/>
      <c r="E32" s="423"/>
      <c r="F32" s="423"/>
      <c r="G32" s="423"/>
      <c r="H32" s="424"/>
      <c r="I32" s="201"/>
      <c r="J32" s="201"/>
      <c r="K32" s="201"/>
      <c r="L32" s="206"/>
      <c r="M32" s="206"/>
      <c r="N32" s="207"/>
    </row>
    <row r="33" spans="1:14" s="3" customFormat="1" ht="17.25" customHeight="1" x14ac:dyDescent="0.3">
      <c r="A33" s="198"/>
      <c r="B33" s="208"/>
      <c r="C33" s="209"/>
      <c r="D33" s="209"/>
      <c r="E33" s="209"/>
      <c r="F33" s="209"/>
      <c r="G33" s="209"/>
      <c r="H33" s="209"/>
      <c r="I33" s="201"/>
      <c r="J33" s="201"/>
      <c r="K33" s="201"/>
      <c r="L33" s="206"/>
      <c r="M33" s="206"/>
      <c r="N33" s="207"/>
    </row>
    <row r="34" spans="1:14" s="3" customFormat="1" x14ac:dyDescent="0.3">
      <c r="A34" s="198" t="s">
        <v>20</v>
      </c>
      <c r="B34" s="210">
        <f>B31/B32</f>
        <v>1</v>
      </c>
      <c r="C34" s="188" t="s">
        <v>21</v>
      </c>
      <c r="D34" s="188"/>
      <c r="E34" s="188"/>
      <c r="F34" s="188"/>
      <c r="G34" s="188"/>
      <c r="I34" s="201"/>
      <c r="J34" s="201"/>
      <c r="K34" s="201"/>
      <c r="L34" s="206"/>
      <c r="M34" s="206"/>
      <c r="N34" s="207"/>
    </row>
    <row r="35" spans="1:14" s="3" customFormat="1" ht="19.5" customHeight="1" x14ac:dyDescent="0.3">
      <c r="A35" s="198"/>
      <c r="B35" s="202"/>
      <c r="G35" s="188"/>
      <c r="I35" s="201"/>
      <c r="J35" s="201"/>
      <c r="K35" s="201"/>
      <c r="L35" s="206"/>
      <c r="M35" s="206"/>
      <c r="N35" s="207"/>
    </row>
    <row r="36" spans="1:14" s="3" customFormat="1" ht="27" customHeight="1" x14ac:dyDescent="0.4">
      <c r="A36" s="211" t="s">
        <v>80</v>
      </c>
      <c r="B36" s="212">
        <v>5</v>
      </c>
      <c r="C36" s="188"/>
      <c r="D36" s="420" t="s">
        <v>22</v>
      </c>
      <c r="E36" s="429"/>
      <c r="F36" s="420" t="s">
        <v>23</v>
      </c>
      <c r="G36" s="421"/>
      <c r="J36" s="201"/>
      <c r="K36" s="201"/>
      <c r="L36" s="206"/>
      <c r="M36" s="206"/>
      <c r="N36" s="207"/>
    </row>
    <row r="37" spans="1:14" s="3" customFormat="1" ht="27" customHeight="1" x14ac:dyDescent="0.4">
      <c r="A37" s="213" t="s">
        <v>24</v>
      </c>
      <c r="B37" s="214">
        <v>3</v>
      </c>
      <c r="C37" s="215" t="s">
        <v>49</v>
      </c>
      <c r="D37" s="216" t="s">
        <v>25</v>
      </c>
      <c r="E37" s="217" t="s">
        <v>26</v>
      </c>
      <c r="F37" s="216" t="s">
        <v>25</v>
      </c>
      <c r="G37" s="218" t="s">
        <v>26</v>
      </c>
      <c r="I37" s="219" t="s">
        <v>81</v>
      </c>
      <c r="J37" s="201"/>
      <c r="K37" s="201"/>
      <c r="L37" s="206"/>
      <c r="M37" s="206"/>
      <c r="N37" s="207"/>
    </row>
    <row r="38" spans="1:14" s="3" customFormat="1" ht="26.25" customHeight="1" x14ac:dyDescent="0.4">
      <c r="A38" s="213" t="s">
        <v>27</v>
      </c>
      <c r="B38" s="214">
        <v>100</v>
      </c>
      <c r="C38" s="220">
        <v>1</v>
      </c>
      <c r="D38" s="221">
        <v>22366344</v>
      </c>
      <c r="E38" s="222">
        <f>IF(ISBLANK(D38),"-",$D$48/$D$45*D38)</f>
        <v>24574379.523490708</v>
      </c>
      <c r="F38" s="221">
        <v>32144945</v>
      </c>
      <c r="G38" s="223">
        <f>IF(ISBLANK(F38),"-",$D$48/$F$45*F38)</f>
        <v>25493811.492574371</v>
      </c>
      <c r="I38" s="224"/>
      <c r="J38" s="201"/>
      <c r="K38" s="201"/>
      <c r="L38" s="206"/>
      <c r="M38" s="206"/>
      <c r="N38" s="207"/>
    </row>
    <row r="39" spans="1:14" s="3" customFormat="1" ht="26.25" customHeight="1" x14ac:dyDescent="0.4">
      <c r="A39" s="213" t="s">
        <v>28</v>
      </c>
      <c r="B39" s="214">
        <v>1</v>
      </c>
      <c r="C39" s="225">
        <v>2</v>
      </c>
      <c r="D39" s="226">
        <v>22292003</v>
      </c>
      <c r="E39" s="227">
        <f>IF(ISBLANK(D39),"-",$D$48/$D$45*D39)</f>
        <v>24492699.480111431</v>
      </c>
      <c r="F39" s="226">
        <v>31255445</v>
      </c>
      <c r="G39" s="228">
        <f>IF(ISBLANK(F39),"-",$D$48/$F$45*F39)</f>
        <v>24788358.572289553</v>
      </c>
      <c r="I39" s="447">
        <f>ABS((F43/D43*D42)-F42)/D42</f>
        <v>3.6713388826115689E-2</v>
      </c>
      <c r="J39" s="201"/>
      <c r="K39" s="201"/>
      <c r="L39" s="206"/>
      <c r="M39" s="206"/>
      <c r="N39" s="207"/>
    </row>
    <row r="40" spans="1:14" ht="26.25" customHeight="1" x14ac:dyDescent="0.4">
      <c r="A40" s="213" t="s">
        <v>29</v>
      </c>
      <c r="B40" s="214">
        <v>1</v>
      </c>
      <c r="C40" s="225">
        <v>3</v>
      </c>
      <c r="D40" s="226">
        <v>22420887</v>
      </c>
      <c r="E40" s="227">
        <f>IF(ISBLANK(D40),"-",$D$48/$D$45*D40)</f>
        <v>24634307.081716128</v>
      </c>
      <c r="F40" s="226">
        <v>31991810</v>
      </c>
      <c r="G40" s="228">
        <f>IF(ISBLANK(F40),"-",$D$48/$F$45*F40)</f>
        <v>25372361.764695995</v>
      </c>
      <c r="I40" s="447"/>
      <c r="L40" s="206"/>
      <c r="M40" s="206"/>
      <c r="N40" s="229"/>
    </row>
    <row r="41" spans="1:14" ht="27" customHeight="1" x14ac:dyDescent="0.4">
      <c r="A41" s="213" t="s">
        <v>30</v>
      </c>
      <c r="B41" s="214">
        <v>1</v>
      </c>
      <c r="C41" s="230">
        <v>4</v>
      </c>
      <c r="D41" s="231"/>
      <c r="E41" s="232" t="str">
        <f>IF(ISBLANK(D41),"-",$D$48/$D$45*D41)</f>
        <v>-</v>
      </c>
      <c r="F41" s="231"/>
      <c r="G41" s="233" t="str">
        <f>IF(ISBLANK(F41),"-",$D$48/$F$45*F41)</f>
        <v>-</v>
      </c>
      <c r="I41" s="234"/>
      <c r="L41" s="206"/>
      <c r="M41" s="206"/>
      <c r="N41" s="229"/>
    </row>
    <row r="42" spans="1:14" ht="27" customHeight="1" x14ac:dyDescent="0.4">
      <c r="A42" s="213" t="s">
        <v>31</v>
      </c>
      <c r="B42" s="214">
        <v>1</v>
      </c>
      <c r="C42" s="235" t="s">
        <v>32</v>
      </c>
      <c r="D42" s="236">
        <f>AVERAGE(D38:D41)</f>
        <v>22359744.666666668</v>
      </c>
      <c r="E42" s="237">
        <f>AVERAGE(E38:E41)</f>
        <v>24567128.695106089</v>
      </c>
      <c r="F42" s="236">
        <f>AVERAGE(F38:F41)</f>
        <v>31797400</v>
      </c>
      <c r="G42" s="238">
        <f>AVERAGE(G38:G41)</f>
        <v>25218177.276519973</v>
      </c>
      <c r="H42" s="239"/>
    </row>
    <row r="43" spans="1:14" ht="26.25" customHeight="1" x14ac:dyDescent="0.4">
      <c r="A43" s="213" t="s">
        <v>33</v>
      </c>
      <c r="B43" s="214">
        <v>1</v>
      </c>
      <c r="C43" s="240" t="s">
        <v>82</v>
      </c>
      <c r="D43" s="241">
        <v>15.31</v>
      </c>
      <c r="E43" s="229"/>
      <c r="F43" s="241">
        <v>21.21</v>
      </c>
      <c r="H43" s="239"/>
    </row>
    <row r="44" spans="1:14" ht="26.25" customHeight="1" x14ac:dyDescent="0.4">
      <c r="A44" s="213" t="s">
        <v>35</v>
      </c>
      <c r="B44" s="214">
        <v>1</v>
      </c>
      <c r="C44" s="242" t="s">
        <v>83</v>
      </c>
      <c r="D44" s="243">
        <f>D43*$B$34</f>
        <v>15.31</v>
      </c>
      <c r="E44" s="244"/>
      <c r="F44" s="243">
        <f>F43*$B$34</f>
        <v>21.21</v>
      </c>
      <c r="H44" s="239"/>
    </row>
    <row r="45" spans="1:14" ht="19.5" customHeight="1" x14ac:dyDescent="0.3">
      <c r="A45" s="213" t="s">
        <v>37</v>
      </c>
      <c r="B45" s="245">
        <f>(B44/B43)*(B42/B41)*(B40/B39)*(B38/B37)*B36</f>
        <v>166.66666666666669</v>
      </c>
      <c r="C45" s="242" t="s">
        <v>84</v>
      </c>
      <c r="D45" s="246">
        <f>D44*$B$30/100</f>
        <v>15.169148</v>
      </c>
      <c r="E45" s="247"/>
      <c r="F45" s="246">
        <f>F44*$B$30/100</f>
        <v>21.014868</v>
      </c>
      <c r="H45" s="239"/>
    </row>
    <row r="46" spans="1:14" ht="19.5" customHeight="1" x14ac:dyDescent="0.3">
      <c r="A46" s="430" t="s">
        <v>39</v>
      </c>
      <c r="B46" s="434"/>
      <c r="C46" s="242" t="s">
        <v>85</v>
      </c>
      <c r="D46" s="248">
        <f>D45/$B$45</f>
        <v>9.1014887999999988E-2</v>
      </c>
      <c r="E46" s="249"/>
      <c r="F46" s="250">
        <f>F45/$B$45</f>
        <v>0.12608920799999998</v>
      </c>
      <c r="H46" s="239"/>
    </row>
    <row r="47" spans="1:14" ht="27" customHeight="1" x14ac:dyDescent="0.4">
      <c r="A47" s="432"/>
      <c r="B47" s="435"/>
      <c r="C47" s="251" t="s">
        <v>86</v>
      </c>
      <c r="D47" s="252">
        <v>0.1</v>
      </c>
      <c r="E47" s="253"/>
      <c r="F47" s="249"/>
      <c r="H47" s="239"/>
    </row>
    <row r="48" spans="1:14" x14ac:dyDescent="0.3">
      <c r="C48" s="254" t="s">
        <v>41</v>
      </c>
      <c r="D48" s="246">
        <f>D47*$B$45</f>
        <v>16.666666666666668</v>
      </c>
      <c r="F48" s="255"/>
      <c r="H48" s="239"/>
    </row>
    <row r="49" spans="1:12" ht="19.5" customHeight="1" x14ac:dyDescent="0.3">
      <c r="C49" s="256" t="s">
        <v>42</v>
      </c>
      <c r="D49" s="257">
        <f>D48/B34</f>
        <v>16.666666666666668</v>
      </c>
      <c r="F49" s="255"/>
      <c r="H49" s="239"/>
    </row>
    <row r="50" spans="1:12" x14ac:dyDescent="0.3">
      <c r="C50" s="211" t="s">
        <v>43</v>
      </c>
      <c r="D50" s="258">
        <f>AVERAGE(E38:E41,G38:G41)</f>
        <v>24892652.985813033</v>
      </c>
      <c r="F50" s="259"/>
      <c r="H50" s="239"/>
    </row>
    <row r="51" spans="1:12" x14ac:dyDescent="0.3">
      <c r="C51" s="213" t="s">
        <v>44</v>
      </c>
      <c r="D51" s="260">
        <f>STDEV(E38:E41,G38:G41)/D50</f>
        <v>1.7329138897112528E-2</v>
      </c>
      <c r="F51" s="259"/>
      <c r="H51" s="239"/>
    </row>
    <row r="52" spans="1:12" ht="19.5" customHeight="1" x14ac:dyDescent="0.3">
      <c r="C52" s="261" t="s">
        <v>45</v>
      </c>
      <c r="D52" s="262">
        <f>COUNT(E38:E41,G38:G41)</f>
        <v>6</v>
      </c>
      <c r="F52" s="259"/>
    </row>
    <row r="54" spans="1:12" x14ac:dyDescent="0.3">
      <c r="A54" s="263" t="s">
        <v>11</v>
      </c>
      <c r="B54" s="264" t="s">
        <v>46</v>
      </c>
    </row>
    <row r="55" spans="1:12" x14ac:dyDescent="0.3">
      <c r="A55" s="188" t="s">
        <v>47</v>
      </c>
      <c r="B55" s="265" t="str">
        <f>B21</f>
        <v>Aspirin BP 75mg</v>
      </c>
    </row>
    <row r="56" spans="1:12" ht="26.25" customHeight="1" x14ac:dyDescent="0.4">
      <c r="A56" s="266" t="s">
        <v>87</v>
      </c>
      <c r="B56" s="267">
        <v>75</v>
      </c>
      <c r="C56" s="188" t="str">
        <f>B20</f>
        <v>Aspirin</v>
      </c>
      <c r="H56" s="268"/>
    </row>
    <row r="57" spans="1:12" x14ac:dyDescent="0.3">
      <c r="A57" s="265" t="s">
        <v>88</v>
      </c>
      <c r="B57" s="269">
        <f>Uniformity!C46</f>
        <v>264.57499999999993</v>
      </c>
      <c r="H57" s="268"/>
    </row>
    <row r="58" spans="1:12" ht="19.5" customHeight="1" x14ac:dyDescent="0.3">
      <c r="H58" s="268"/>
    </row>
    <row r="59" spans="1:12" s="3" customFormat="1" ht="27" customHeight="1" x14ac:dyDescent="0.4">
      <c r="A59" s="211" t="s">
        <v>89</v>
      </c>
      <c r="B59" s="212">
        <v>50</v>
      </c>
      <c r="C59" s="188"/>
      <c r="D59" s="270" t="s">
        <v>48</v>
      </c>
      <c r="E59" s="271" t="s">
        <v>49</v>
      </c>
      <c r="F59" s="271" t="s">
        <v>25</v>
      </c>
      <c r="G59" s="271" t="s">
        <v>50</v>
      </c>
      <c r="H59" s="215" t="s">
        <v>51</v>
      </c>
      <c r="L59" s="201"/>
    </row>
    <row r="60" spans="1:12" s="3" customFormat="1" ht="26.25" customHeight="1" x14ac:dyDescent="0.4">
      <c r="A60" s="213" t="s">
        <v>90</v>
      </c>
      <c r="B60" s="214">
        <v>3</v>
      </c>
      <c r="C60" s="425" t="s">
        <v>53</v>
      </c>
      <c r="D60" s="448">
        <v>262.52</v>
      </c>
      <c r="E60" s="272">
        <v>1</v>
      </c>
      <c r="F60" s="273">
        <v>23787010</v>
      </c>
      <c r="G60" s="274">
        <f>IF(ISBLANK(F60),"-",(F60/$D$50*$D$47*$B$68)*($B$57/$D$60))</f>
        <v>80.255320494027998</v>
      </c>
      <c r="H60" s="275">
        <f>IF(ISBLANK(F60),"-",G60/$B$56)</f>
        <v>1.0700709399203734</v>
      </c>
      <c r="L60" s="201"/>
    </row>
    <row r="61" spans="1:12" s="3" customFormat="1" ht="26.25" customHeight="1" x14ac:dyDescent="0.4">
      <c r="A61" s="213" t="s">
        <v>54</v>
      </c>
      <c r="B61" s="214">
        <v>50</v>
      </c>
      <c r="C61" s="426"/>
      <c r="D61" s="449"/>
      <c r="E61" s="276">
        <v>2</v>
      </c>
      <c r="F61" s="226">
        <v>24414627</v>
      </c>
      <c r="G61" s="277">
        <f>IF(ISBLANK(F61),"-",(F61/$D$50*$D$47*$B$68)*($B$57/$D$60))</f>
        <v>82.372846130184058</v>
      </c>
      <c r="H61" s="278">
        <f>IF(ISBLANK(F61),"-",G61/$B$56)</f>
        <v>1.0983046150691207</v>
      </c>
      <c r="L61" s="201"/>
    </row>
    <row r="62" spans="1:12" s="3" customFormat="1" ht="26.25" customHeight="1" x14ac:dyDescent="0.4">
      <c r="A62" s="213" t="s">
        <v>55</v>
      </c>
      <c r="B62" s="214">
        <v>1</v>
      </c>
      <c r="C62" s="426"/>
      <c r="D62" s="449"/>
      <c r="E62" s="276">
        <v>3</v>
      </c>
      <c r="F62" s="279">
        <v>24266601</v>
      </c>
      <c r="G62" s="277">
        <f>IF(ISBLANK(F62),"-",(F62/$D$50*$D$47*$B$68)*($B$57/$D$60))</f>
        <v>81.87341917103916</v>
      </c>
      <c r="H62" s="278">
        <f t="shared" ref="H60:H71" si="0">IF(ISBLANK(F62),"-",G62/$B$56)</f>
        <v>1.0916455889471888</v>
      </c>
      <c r="L62" s="201"/>
    </row>
    <row r="63" spans="1:12" ht="27" customHeight="1" x14ac:dyDescent="0.4">
      <c r="A63" s="213" t="s">
        <v>56</v>
      </c>
      <c r="B63" s="214">
        <v>1</v>
      </c>
      <c r="C63" s="427"/>
      <c r="D63" s="450"/>
      <c r="E63" s="280">
        <v>4</v>
      </c>
      <c r="F63" s="281"/>
      <c r="G63" s="277" t="str">
        <f>IF(ISBLANK(F63),"-",(F63/$D$50*$D$47*$B$68)*($B$57/$D$60))</f>
        <v>-</v>
      </c>
      <c r="H63" s="278" t="str">
        <f t="shared" si="0"/>
        <v>-</v>
      </c>
    </row>
    <row r="64" spans="1:12" ht="26.25" customHeight="1" x14ac:dyDescent="0.4">
      <c r="A64" s="213" t="s">
        <v>57</v>
      </c>
      <c r="B64" s="214">
        <v>1</v>
      </c>
      <c r="C64" s="425" t="s">
        <v>58</v>
      </c>
      <c r="D64" s="448">
        <v>270.58</v>
      </c>
      <c r="E64" s="272">
        <v>1</v>
      </c>
      <c r="F64" s="273"/>
      <c r="G64" s="282"/>
      <c r="H64" s="283"/>
    </row>
    <row r="65" spans="1:8" ht="26.25" customHeight="1" x14ac:dyDescent="0.4">
      <c r="A65" s="213" t="s">
        <v>59</v>
      </c>
      <c r="B65" s="214">
        <v>1</v>
      </c>
      <c r="C65" s="426"/>
      <c r="D65" s="449"/>
      <c r="E65" s="276">
        <v>2</v>
      </c>
      <c r="F65" s="226"/>
      <c r="G65" s="284"/>
      <c r="H65" s="285"/>
    </row>
    <row r="66" spans="1:8" ht="26.25" customHeight="1" x14ac:dyDescent="0.4">
      <c r="A66" s="213" t="s">
        <v>60</v>
      </c>
      <c r="B66" s="214">
        <v>1</v>
      </c>
      <c r="C66" s="426"/>
      <c r="D66" s="449"/>
      <c r="E66" s="276">
        <v>3</v>
      </c>
      <c r="F66" s="226"/>
      <c r="G66" s="284"/>
      <c r="H66" s="285"/>
    </row>
    <row r="67" spans="1:8" ht="27" customHeight="1" x14ac:dyDescent="0.4">
      <c r="A67" s="213" t="s">
        <v>61</v>
      </c>
      <c r="B67" s="214">
        <v>1</v>
      </c>
      <c r="C67" s="427"/>
      <c r="D67" s="450"/>
      <c r="E67" s="280">
        <v>4</v>
      </c>
      <c r="F67" s="281"/>
      <c r="G67" s="286"/>
      <c r="H67" s="287"/>
    </row>
    <row r="68" spans="1:8" ht="26.25" customHeight="1" x14ac:dyDescent="0.4">
      <c r="A68" s="213" t="s">
        <v>62</v>
      </c>
      <c r="B68" s="288">
        <f>(B67/B66)*(B65/B64)*(B63/B62)*(B61/B60)*B59</f>
        <v>833.33333333333337</v>
      </c>
      <c r="C68" s="425" t="s">
        <v>63</v>
      </c>
      <c r="D68" s="448">
        <v>264.43</v>
      </c>
      <c r="E68" s="272">
        <v>1</v>
      </c>
      <c r="F68" s="273">
        <v>24469500</v>
      </c>
      <c r="G68" s="282">
        <f>IF(ISBLANK(F68),"-",(F68/$D$50*$D$47*$B$68)*($B$57/$D$68))</f>
        <v>81.961659686796565</v>
      </c>
      <c r="H68" s="278">
        <f>IF(ISBLANK(F68),"-",G68/$B$56)</f>
        <v>1.0928221291572875</v>
      </c>
    </row>
    <row r="69" spans="1:8" ht="27" customHeight="1" x14ac:dyDescent="0.4">
      <c r="A69" s="261" t="s">
        <v>64</v>
      </c>
      <c r="B69" s="289">
        <f>(D47*B68)/B56*B57</f>
        <v>293.97222222222217</v>
      </c>
      <c r="C69" s="426"/>
      <c r="D69" s="449"/>
      <c r="E69" s="276">
        <v>2</v>
      </c>
      <c r="F69" s="226">
        <v>24300116</v>
      </c>
      <c r="G69" s="284">
        <f>IF(ISBLANK(F69),"-",(F69/$D$50*$D$47*$B$68)*($B$57/$D$68))</f>
        <v>81.394300575887542</v>
      </c>
      <c r="H69" s="278">
        <f t="shared" si="0"/>
        <v>1.0852573410118338</v>
      </c>
    </row>
    <row r="70" spans="1:8" ht="26.25" customHeight="1" x14ac:dyDescent="0.4">
      <c r="A70" s="436" t="s">
        <v>39</v>
      </c>
      <c r="B70" s="437"/>
      <c r="C70" s="426"/>
      <c r="D70" s="449"/>
      <c r="E70" s="276">
        <v>3</v>
      </c>
      <c r="F70" s="226">
        <v>24552345</v>
      </c>
      <c r="G70" s="284">
        <f>IF(ISBLANK(F70),"-",(F70/$D$50*$D$47*$B$68)*($B$57/$D$68))</f>
        <v>82.239152635028162</v>
      </c>
      <c r="H70" s="278">
        <f>IF(ISBLANK(F70),"-",G70/$B$56)</f>
        <v>1.0965220351337088</v>
      </c>
    </row>
    <row r="71" spans="1:8" ht="27" customHeight="1" x14ac:dyDescent="0.4">
      <c r="A71" s="438"/>
      <c r="B71" s="439"/>
      <c r="C71" s="428"/>
      <c r="D71" s="450"/>
      <c r="E71" s="280">
        <v>4</v>
      </c>
      <c r="F71" s="281"/>
      <c r="G71" s="286" t="str">
        <f>IF(ISBLANK(F71),"-",(F71/$D$50*$D$47*$B$68)*($B$57/$D$68))</f>
        <v>-</v>
      </c>
      <c r="H71" s="290" t="str">
        <f t="shared" si="0"/>
        <v>-</v>
      </c>
    </row>
    <row r="72" spans="1:8" ht="26.25" customHeight="1" x14ac:dyDescent="0.4">
      <c r="A72" s="291"/>
      <c r="B72" s="291"/>
      <c r="C72" s="291"/>
      <c r="D72" s="291"/>
      <c r="E72" s="291"/>
      <c r="F72" s="292"/>
      <c r="G72" s="293" t="s">
        <v>32</v>
      </c>
      <c r="H72" s="294">
        <f>AVERAGE(H60:H71)</f>
        <v>1.0891037748732522</v>
      </c>
    </row>
    <row r="73" spans="1:8" ht="26.25" customHeight="1" x14ac:dyDescent="0.4">
      <c r="C73" s="291"/>
      <c r="D73" s="291"/>
      <c r="E73" s="291"/>
      <c r="F73" s="292"/>
      <c r="G73" s="295" t="s">
        <v>44</v>
      </c>
      <c r="H73" s="296">
        <f>STDEV(H60:H71)/H72</f>
        <v>9.5156772677344251E-3</v>
      </c>
    </row>
    <row r="74" spans="1:8" ht="27" customHeight="1" x14ac:dyDescent="0.4">
      <c r="A74" s="291"/>
      <c r="B74" s="291"/>
      <c r="C74" s="292"/>
      <c r="D74" s="292"/>
      <c r="E74" s="297"/>
      <c r="F74" s="292"/>
      <c r="G74" s="298" t="s">
        <v>45</v>
      </c>
      <c r="H74" s="299">
        <f>COUNT(H60:H71)</f>
        <v>6</v>
      </c>
    </row>
    <row r="76" spans="1:8" ht="26.25" customHeight="1" x14ac:dyDescent="0.4">
      <c r="A76" s="197" t="s">
        <v>91</v>
      </c>
      <c r="B76" s="300" t="s">
        <v>92</v>
      </c>
      <c r="C76" s="451" t="str">
        <f>B20</f>
        <v>Aspirin</v>
      </c>
      <c r="D76" s="451"/>
      <c r="E76" s="301" t="s">
        <v>93</v>
      </c>
      <c r="F76" s="301"/>
      <c r="G76" s="302">
        <f>H72</f>
        <v>1.0891037748732522</v>
      </c>
      <c r="H76" s="303"/>
    </row>
    <row r="77" spans="1:8" x14ac:dyDescent="0.3">
      <c r="A77" s="196" t="s">
        <v>94</v>
      </c>
      <c r="B77" s="196" t="s">
        <v>65</v>
      </c>
    </row>
    <row r="78" spans="1:8" x14ac:dyDescent="0.3">
      <c r="A78" s="196"/>
      <c r="B78" s="196"/>
    </row>
    <row r="79" spans="1:8" ht="26.25" customHeight="1" x14ac:dyDescent="0.4">
      <c r="A79" s="197" t="s">
        <v>12</v>
      </c>
      <c r="B79" s="452" t="str">
        <f>B26</f>
        <v>Aspirin</v>
      </c>
      <c r="C79" s="452"/>
    </row>
    <row r="80" spans="1:8" ht="26.25" customHeight="1" x14ac:dyDescent="0.4">
      <c r="A80" s="198" t="s">
        <v>13</v>
      </c>
      <c r="B80" s="452" t="str">
        <f>B27</f>
        <v>NQCL-PRS-A14-2</v>
      </c>
      <c r="C80" s="452"/>
    </row>
    <row r="81" spans="1:12" ht="27" customHeight="1" x14ac:dyDescent="0.4">
      <c r="A81" s="198" t="s">
        <v>14</v>
      </c>
      <c r="B81" s="304">
        <f>B28</f>
        <v>99.08</v>
      </c>
    </row>
    <row r="82" spans="1:12" s="3" customFormat="1" ht="27" customHeight="1" x14ac:dyDescent="0.4">
      <c r="A82" s="198" t="s">
        <v>15</v>
      </c>
      <c r="B82" s="200">
        <v>0</v>
      </c>
      <c r="C82" s="417" t="s">
        <v>16</v>
      </c>
      <c r="D82" s="418"/>
      <c r="E82" s="418"/>
      <c r="F82" s="418"/>
      <c r="G82" s="419"/>
      <c r="I82" s="201"/>
      <c r="J82" s="201"/>
      <c r="K82" s="201"/>
      <c r="L82" s="201"/>
    </row>
    <row r="83" spans="1:12" s="3" customFormat="1" ht="19.5" customHeight="1" x14ac:dyDescent="0.3">
      <c r="A83" s="198" t="s">
        <v>17</v>
      </c>
      <c r="B83" s="202">
        <f>B81-B82</f>
        <v>99.08</v>
      </c>
      <c r="C83" s="203"/>
      <c r="D83" s="203"/>
      <c r="E83" s="203"/>
      <c r="F83" s="203"/>
      <c r="G83" s="204"/>
      <c r="I83" s="201"/>
      <c r="J83" s="201"/>
      <c r="K83" s="201"/>
      <c r="L83" s="201"/>
    </row>
    <row r="84" spans="1:12" s="3" customFormat="1" ht="27" customHeight="1" x14ac:dyDescent="0.4">
      <c r="A84" s="198" t="s">
        <v>18</v>
      </c>
      <c r="B84" s="205">
        <v>1</v>
      </c>
      <c r="C84" s="422" t="s">
        <v>95</v>
      </c>
      <c r="D84" s="423"/>
      <c r="E84" s="423"/>
      <c r="F84" s="423"/>
      <c r="G84" s="423"/>
      <c r="H84" s="424"/>
      <c r="I84" s="201"/>
      <c r="J84" s="201"/>
      <c r="K84" s="201"/>
      <c r="L84" s="201"/>
    </row>
    <row r="85" spans="1:12" s="3" customFormat="1" ht="27" customHeight="1" x14ac:dyDescent="0.4">
      <c r="A85" s="198" t="s">
        <v>19</v>
      </c>
      <c r="B85" s="205">
        <v>1</v>
      </c>
      <c r="C85" s="422" t="s">
        <v>96</v>
      </c>
      <c r="D85" s="423"/>
      <c r="E85" s="423"/>
      <c r="F85" s="423"/>
      <c r="G85" s="423"/>
      <c r="H85" s="424"/>
      <c r="I85" s="201"/>
      <c r="J85" s="201"/>
      <c r="K85" s="201"/>
      <c r="L85" s="201"/>
    </row>
    <row r="86" spans="1:12" s="3" customFormat="1" x14ac:dyDescent="0.3">
      <c r="A86" s="198"/>
      <c r="B86" s="208"/>
      <c r="C86" s="209"/>
      <c r="D86" s="209"/>
      <c r="E86" s="209"/>
      <c r="F86" s="209"/>
      <c r="G86" s="209"/>
      <c r="H86" s="209"/>
      <c r="I86" s="201"/>
      <c r="J86" s="201"/>
      <c r="K86" s="201"/>
      <c r="L86" s="201"/>
    </row>
    <row r="87" spans="1:12" s="3" customFormat="1" x14ac:dyDescent="0.3">
      <c r="A87" s="198" t="s">
        <v>20</v>
      </c>
      <c r="B87" s="210">
        <f>B84/B85</f>
        <v>1</v>
      </c>
      <c r="C87" s="188" t="s">
        <v>21</v>
      </c>
      <c r="D87" s="188"/>
      <c r="E87" s="188"/>
      <c r="F87" s="188"/>
      <c r="G87" s="188"/>
      <c r="I87" s="201"/>
      <c r="J87" s="201"/>
      <c r="K87" s="201"/>
      <c r="L87" s="201"/>
    </row>
    <row r="88" spans="1:12" ht="19.5" customHeight="1" x14ac:dyDescent="0.3">
      <c r="A88" s="196"/>
      <c r="B88" s="196"/>
    </row>
    <row r="89" spans="1:12" ht="27" customHeight="1" x14ac:dyDescent="0.4">
      <c r="A89" s="211" t="s">
        <v>80</v>
      </c>
      <c r="B89" s="212">
        <v>5</v>
      </c>
      <c r="D89" s="305" t="s">
        <v>22</v>
      </c>
      <c r="E89" s="306"/>
      <c r="F89" s="420" t="s">
        <v>23</v>
      </c>
      <c r="G89" s="421"/>
    </row>
    <row r="90" spans="1:12" ht="27" customHeight="1" x14ac:dyDescent="0.4">
      <c r="A90" s="213" t="s">
        <v>24</v>
      </c>
      <c r="B90" s="214">
        <v>1</v>
      </c>
      <c r="C90" s="307" t="s">
        <v>49</v>
      </c>
      <c r="D90" s="216" t="s">
        <v>25</v>
      </c>
      <c r="E90" s="217" t="s">
        <v>26</v>
      </c>
      <c r="F90" s="216" t="s">
        <v>25</v>
      </c>
      <c r="G90" s="308" t="s">
        <v>26</v>
      </c>
      <c r="I90" s="219" t="s">
        <v>81</v>
      </c>
    </row>
    <row r="91" spans="1:12" ht="26.25" customHeight="1" x14ac:dyDescent="0.4">
      <c r="A91" s="213" t="s">
        <v>27</v>
      </c>
      <c r="B91" s="214">
        <v>50</v>
      </c>
      <c r="C91" s="309">
        <v>1</v>
      </c>
      <c r="D91" s="221">
        <v>22342136</v>
      </c>
      <c r="E91" s="222">
        <f>IF(ISBLANK(D91),"-",$D$101/$D$98*D91)</f>
        <v>30684727.096516341</v>
      </c>
      <c r="F91" s="221">
        <v>31554274</v>
      </c>
      <c r="G91" s="223">
        <f>IF(ISBLANK(F91),"-",$D$101/$F$98*F91)</f>
        <v>31281695.813332412</v>
      </c>
      <c r="I91" s="224"/>
    </row>
    <row r="92" spans="1:12" ht="26.25" customHeight="1" x14ac:dyDescent="0.4">
      <c r="A92" s="213" t="s">
        <v>28</v>
      </c>
      <c r="B92" s="214">
        <v>1</v>
      </c>
      <c r="C92" s="292">
        <v>2</v>
      </c>
      <c r="D92" s="226">
        <v>22978632</v>
      </c>
      <c r="E92" s="227">
        <f>IF(ISBLANK(D92),"-",$D$101/$D$98*D92)</f>
        <v>31558891.771640699</v>
      </c>
      <c r="F92" s="226">
        <v>31875601</v>
      </c>
      <c r="G92" s="228">
        <f>IF(ISBLANK(F92),"-",$D$101/$F$98*F92)</f>
        <v>31600247.064760689</v>
      </c>
      <c r="I92" s="447">
        <f>ABS((F96/D96*D95)-F95)/D95</f>
        <v>1.753937482101205E-2</v>
      </c>
    </row>
    <row r="93" spans="1:12" ht="26.25" customHeight="1" x14ac:dyDescent="0.4">
      <c r="A93" s="213" t="s">
        <v>29</v>
      </c>
      <c r="B93" s="214">
        <v>1</v>
      </c>
      <c r="C93" s="292">
        <v>3</v>
      </c>
      <c r="D93" s="226">
        <v>22797648</v>
      </c>
      <c r="E93" s="227">
        <f>IF(ISBLANK(D93),"-",$D$101/$D$98*D93)</f>
        <v>31310328.042155039</v>
      </c>
      <c r="F93" s="226">
        <v>32134024</v>
      </c>
      <c r="G93" s="228">
        <f>IF(ISBLANK(F93),"-",$D$101/$F$98*F93)</f>
        <v>31856437.705596499</v>
      </c>
      <c r="I93" s="447"/>
    </row>
    <row r="94" spans="1:12" ht="27" customHeight="1" x14ac:dyDescent="0.4">
      <c r="A94" s="213" t="s">
        <v>30</v>
      </c>
      <c r="B94" s="214">
        <v>1</v>
      </c>
      <c r="C94" s="310">
        <v>4</v>
      </c>
      <c r="D94" s="231"/>
      <c r="E94" s="232" t="str">
        <f>IF(ISBLANK(D94),"-",$D$101/$D$98*D94)</f>
        <v>-</v>
      </c>
      <c r="F94" s="311"/>
      <c r="G94" s="233" t="str">
        <f>IF(ISBLANK(F94),"-",$D$101/$F$98*F94)</f>
        <v>-</v>
      </c>
      <c r="I94" s="234"/>
    </row>
    <row r="95" spans="1:12" ht="27" customHeight="1" x14ac:dyDescent="0.4">
      <c r="A95" s="213" t="s">
        <v>31</v>
      </c>
      <c r="B95" s="214">
        <v>1</v>
      </c>
      <c r="C95" s="312" t="s">
        <v>32</v>
      </c>
      <c r="D95" s="313">
        <f>AVERAGE(D91:D94)</f>
        <v>22706138.666666668</v>
      </c>
      <c r="E95" s="237">
        <f>AVERAGE(E91:E94)</f>
        <v>31184648.970104028</v>
      </c>
      <c r="F95" s="314">
        <f>AVERAGE(F91:F94)</f>
        <v>31854633</v>
      </c>
      <c r="G95" s="315">
        <f>AVERAGE(G91:G94)</f>
        <v>31579460.194563199</v>
      </c>
    </row>
    <row r="96" spans="1:12" ht="26.25" customHeight="1" x14ac:dyDescent="0.4">
      <c r="A96" s="213" t="s">
        <v>33</v>
      </c>
      <c r="B96" s="199">
        <v>1</v>
      </c>
      <c r="C96" s="316" t="s">
        <v>34</v>
      </c>
      <c r="D96" s="317">
        <v>15.31</v>
      </c>
      <c r="E96" s="229"/>
      <c r="F96" s="241">
        <v>21.21</v>
      </c>
    </row>
    <row r="97" spans="1:10" ht="26.25" customHeight="1" x14ac:dyDescent="0.4">
      <c r="A97" s="213" t="s">
        <v>35</v>
      </c>
      <c r="B97" s="199">
        <v>1</v>
      </c>
      <c r="C97" s="318" t="s">
        <v>36</v>
      </c>
      <c r="D97" s="319">
        <f>D96*$B$87</f>
        <v>15.31</v>
      </c>
      <c r="E97" s="244"/>
      <c r="F97" s="243">
        <f>F96*$B$87</f>
        <v>21.21</v>
      </c>
    </row>
    <row r="98" spans="1:10" ht="19.5" customHeight="1" x14ac:dyDescent="0.3">
      <c r="A98" s="213" t="s">
        <v>37</v>
      </c>
      <c r="B98" s="320">
        <f>(B97/B96)*(B95/B94)*(B93/B92)*(B91/B90)*B89</f>
        <v>250</v>
      </c>
      <c r="C98" s="318" t="s">
        <v>38</v>
      </c>
      <c r="D98" s="321">
        <f>D97*$B$83/100</f>
        <v>15.169148</v>
      </c>
      <c r="E98" s="247"/>
      <c r="F98" s="246">
        <f>F97*$B$83/100</f>
        <v>21.014868</v>
      </c>
    </row>
    <row r="99" spans="1:10" ht="19.5" customHeight="1" x14ac:dyDescent="0.3">
      <c r="A99" s="430" t="s">
        <v>39</v>
      </c>
      <c r="B99" s="431"/>
      <c r="C99" s="318" t="s">
        <v>40</v>
      </c>
      <c r="D99" s="322">
        <f>D98/$B$98</f>
        <v>6.0676592000000001E-2</v>
      </c>
      <c r="E99" s="247"/>
      <c r="F99" s="250">
        <f>F98/$B$98</f>
        <v>8.4059471999999996E-2</v>
      </c>
      <c r="G99" s="323"/>
      <c r="H99" s="239"/>
    </row>
    <row r="100" spans="1:10" ht="19.5" customHeight="1" x14ac:dyDescent="0.3">
      <c r="A100" s="432"/>
      <c r="B100" s="433"/>
      <c r="C100" s="318" t="s">
        <v>86</v>
      </c>
      <c r="D100" s="324">
        <f>$B$56/$B$116</f>
        <v>8.3333333333333329E-2</v>
      </c>
      <c r="F100" s="255"/>
      <c r="G100" s="325"/>
      <c r="H100" s="239"/>
    </row>
    <row r="101" spans="1:10" x14ac:dyDescent="0.3">
      <c r="C101" s="318" t="s">
        <v>41</v>
      </c>
      <c r="D101" s="319">
        <f>D100*$B$98</f>
        <v>20.833333333333332</v>
      </c>
      <c r="F101" s="255"/>
      <c r="G101" s="323"/>
      <c r="H101" s="239"/>
    </row>
    <row r="102" spans="1:10" ht="19.5" customHeight="1" x14ac:dyDescent="0.3">
      <c r="C102" s="326" t="s">
        <v>42</v>
      </c>
      <c r="D102" s="327">
        <f>D101/B34</f>
        <v>20.833333333333332</v>
      </c>
      <c r="F102" s="259"/>
      <c r="G102" s="323"/>
      <c r="H102" s="239"/>
      <c r="J102" s="328"/>
    </row>
    <row r="103" spans="1:10" x14ac:dyDescent="0.3">
      <c r="C103" s="329" t="s">
        <v>66</v>
      </c>
      <c r="D103" s="330">
        <f>AVERAGE(E91:E94,G91:G94)</f>
        <v>31382054.582333613</v>
      </c>
      <c r="F103" s="259"/>
      <c r="G103" s="331"/>
      <c r="H103" s="239"/>
      <c r="J103" s="332"/>
    </row>
    <row r="104" spans="1:10" x14ac:dyDescent="0.3">
      <c r="C104" s="295" t="s">
        <v>44</v>
      </c>
      <c r="D104" s="333">
        <f>STDEV(E91:E94,G91:G94)/D103</f>
        <v>1.278909106313361E-2</v>
      </c>
      <c r="F104" s="259"/>
      <c r="G104" s="323"/>
      <c r="H104" s="239"/>
      <c r="J104" s="332"/>
    </row>
    <row r="105" spans="1:10" ht="19.5" customHeight="1" x14ac:dyDescent="0.3">
      <c r="C105" s="298" t="s">
        <v>45</v>
      </c>
      <c r="D105" s="334">
        <f>COUNT(E91:E94,G91:G94)</f>
        <v>6</v>
      </c>
      <c r="F105" s="259"/>
      <c r="G105" s="323"/>
      <c r="H105" s="239"/>
      <c r="J105" s="332"/>
    </row>
    <row r="106" spans="1:10" ht="19.5" customHeight="1" x14ac:dyDescent="0.3">
      <c r="A106" s="263"/>
      <c r="B106" s="263"/>
      <c r="C106" s="263"/>
      <c r="D106" s="263"/>
      <c r="E106" s="263"/>
    </row>
    <row r="107" spans="1:10" ht="26.25" customHeight="1" x14ac:dyDescent="0.4">
      <c r="A107" s="211" t="s">
        <v>67</v>
      </c>
      <c r="B107" s="212">
        <v>900</v>
      </c>
      <c r="C107" s="335" t="s">
        <v>68</v>
      </c>
      <c r="D107" s="336" t="s">
        <v>25</v>
      </c>
      <c r="E107" s="337" t="s">
        <v>69</v>
      </c>
      <c r="F107" s="338" t="s">
        <v>70</v>
      </c>
    </row>
    <row r="108" spans="1:10" ht="26.25" customHeight="1" x14ac:dyDescent="0.4">
      <c r="A108" s="213" t="s">
        <v>52</v>
      </c>
      <c r="B108" s="214">
        <v>1</v>
      </c>
      <c r="C108" s="339">
        <v>1</v>
      </c>
      <c r="D108" s="340">
        <v>24104346</v>
      </c>
      <c r="E108" s="341">
        <f t="shared" ref="E108:E113" si="1">IF(ISBLANK(D108),"-",D108/$D$103*$D$100*$B$116)</f>
        <v>57.606997822816467</v>
      </c>
      <c r="F108" s="342">
        <f>IF(ISBLANK(D108), "-", E108/$B$56)</f>
        <v>0.76809330430421952</v>
      </c>
    </row>
    <row r="109" spans="1:10" ht="26.25" customHeight="1" x14ac:dyDescent="0.4">
      <c r="A109" s="213" t="s">
        <v>54</v>
      </c>
      <c r="B109" s="214">
        <v>1</v>
      </c>
      <c r="C109" s="339">
        <v>2</v>
      </c>
      <c r="D109" s="340">
        <v>24367965</v>
      </c>
      <c r="E109" s="343">
        <f t="shared" si="1"/>
        <v>58.237021104056005</v>
      </c>
      <c r="F109" s="344">
        <f t="shared" ref="F108:F113" si="2">IF(ISBLANK(D109), "-", E109/$B$56)</f>
        <v>0.77649361472074674</v>
      </c>
    </row>
    <row r="110" spans="1:10" ht="26.25" customHeight="1" x14ac:dyDescent="0.4">
      <c r="A110" s="213" t="s">
        <v>55</v>
      </c>
      <c r="B110" s="214">
        <v>1</v>
      </c>
      <c r="C110" s="339">
        <v>3</v>
      </c>
      <c r="D110" s="340">
        <v>24312114</v>
      </c>
      <c r="E110" s="343">
        <f t="shared" si="1"/>
        <v>58.103542749762454</v>
      </c>
      <c r="F110" s="344">
        <f>IF(ISBLANK(D110), "-", E110/$B$56)</f>
        <v>0.7747139033301661</v>
      </c>
    </row>
    <row r="111" spans="1:10" ht="26.25" customHeight="1" x14ac:dyDescent="0.4">
      <c r="A111" s="213" t="s">
        <v>56</v>
      </c>
      <c r="B111" s="214">
        <v>1</v>
      </c>
      <c r="C111" s="339">
        <v>4</v>
      </c>
      <c r="D111" s="340">
        <v>24179828</v>
      </c>
      <c r="E111" s="343">
        <f t="shared" si="1"/>
        <v>57.787392321371279</v>
      </c>
      <c r="F111" s="344">
        <f t="shared" si="2"/>
        <v>0.77049856428495034</v>
      </c>
    </row>
    <row r="112" spans="1:10" ht="26.25" customHeight="1" x14ac:dyDescent="0.4">
      <c r="A112" s="213" t="s">
        <v>57</v>
      </c>
      <c r="B112" s="214">
        <v>1</v>
      </c>
      <c r="C112" s="339">
        <v>5</v>
      </c>
      <c r="D112" s="340">
        <v>24358186</v>
      </c>
      <c r="E112" s="343">
        <f t="shared" si="1"/>
        <v>58.213650263307642</v>
      </c>
      <c r="F112" s="344">
        <f>IF(ISBLANK(D112), "-", E112/$B$56)</f>
        <v>0.7761820035107686</v>
      </c>
    </row>
    <row r="113" spans="1:10" ht="26.25" customHeight="1" x14ac:dyDescent="0.4">
      <c r="A113" s="213" t="s">
        <v>59</v>
      </c>
      <c r="B113" s="214">
        <v>1</v>
      </c>
      <c r="C113" s="345">
        <v>6</v>
      </c>
      <c r="D113" s="346">
        <v>24363167</v>
      </c>
      <c r="E113" s="347">
        <f t="shared" si="1"/>
        <v>58.225554359612737</v>
      </c>
      <c r="F113" s="348">
        <f t="shared" si="2"/>
        <v>0.77634072479483651</v>
      </c>
    </row>
    <row r="114" spans="1:10" ht="26.25" customHeight="1" x14ac:dyDescent="0.4">
      <c r="A114" s="213" t="s">
        <v>60</v>
      </c>
      <c r="B114" s="214">
        <v>1</v>
      </c>
      <c r="C114" s="339"/>
      <c r="D114" s="292"/>
      <c r="E114" s="187"/>
      <c r="F114" s="349"/>
    </row>
    <row r="115" spans="1:10" ht="26.25" customHeight="1" x14ac:dyDescent="0.4">
      <c r="A115" s="213" t="s">
        <v>61</v>
      </c>
      <c r="B115" s="214">
        <v>1</v>
      </c>
      <c r="C115" s="339"/>
      <c r="D115" s="350"/>
      <c r="E115" s="351" t="s">
        <v>32</v>
      </c>
      <c r="F115" s="352">
        <f>AVERAGE(F108:F113)</f>
        <v>0.77372035249094795</v>
      </c>
    </row>
    <row r="116" spans="1:10" ht="27" customHeight="1" x14ac:dyDescent="0.4">
      <c r="A116" s="213" t="s">
        <v>62</v>
      </c>
      <c r="B116" s="245">
        <f>(B115/B114)*(B113/B112)*(B111/B110)*(B109/B108)*B107</f>
        <v>900</v>
      </c>
      <c r="C116" s="353"/>
      <c r="D116" s="354"/>
      <c r="E116" s="312" t="s">
        <v>44</v>
      </c>
      <c r="F116" s="355">
        <f>STDEV(F108:F113)/F115</f>
        <v>4.6112923266954896E-3</v>
      </c>
      <c r="I116" s="187"/>
    </row>
    <row r="117" spans="1:10" ht="27" customHeight="1" x14ac:dyDescent="0.4">
      <c r="A117" s="430" t="s">
        <v>39</v>
      </c>
      <c r="B117" s="434"/>
      <c r="C117" s="356"/>
      <c r="D117" s="357"/>
      <c r="E117" s="358" t="s">
        <v>45</v>
      </c>
      <c r="F117" s="359">
        <f>COUNT(F108:F113)</f>
        <v>6</v>
      </c>
      <c r="I117" s="187"/>
      <c r="J117" s="332"/>
    </row>
    <row r="118" spans="1:10" ht="19.5" customHeight="1" x14ac:dyDescent="0.3">
      <c r="A118" s="432"/>
      <c r="B118" s="435"/>
      <c r="C118" s="187"/>
      <c r="D118" s="187"/>
      <c r="E118" s="187"/>
      <c r="F118" s="292"/>
      <c r="G118" s="187"/>
      <c r="H118" s="187"/>
      <c r="I118" s="187"/>
    </row>
    <row r="119" spans="1:10" x14ac:dyDescent="0.3">
      <c r="A119" s="368"/>
      <c r="B119" s="209"/>
      <c r="C119" s="187"/>
      <c r="D119" s="187"/>
      <c r="E119" s="187"/>
      <c r="F119" s="292"/>
      <c r="G119" s="187"/>
      <c r="H119" s="187"/>
      <c r="I119" s="187"/>
    </row>
    <row r="120" spans="1:10" ht="26.25" customHeight="1" x14ac:dyDescent="0.4">
      <c r="A120" s="197" t="s">
        <v>91</v>
      </c>
      <c r="B120" s="300" t="s">
        <v>97</v>
      </c>
      <c r="C120" s="451" t="str">
        <f>B20</f>
        <v>Aspirin</v>
      </c>
      <c r="D120" s="451"/>
      <c r="E120" s="301" t="s">
        <v>98</v>
      </c>
      <c r="F120" s="301"/>
      <c r="G120" s="302">
        <f>F115</f>
        <v>0.77372035249094795</v>
      </c>
      <c r="H120" s="187"/>
      <c r="I120" s="187"/>
    </row>
    <row r="121" spans="1:10" ht="19.5" customHeight="1" x14ac:dyDescent="0.3">
      <c r="A121" s="360"/>
      <c r="B121" s="360"/>
      <c r="C121" s="361"/>
      <c r="D121" s="361"/>
      <c r="E121" s="361"/>
      <c r="F121" s="361"/>
      <c r="G121" s="361"/>
      <c r="H121" s="361"/>
    </row>
    <row r="122" spans="1:10" x14ac:dyDescent="0.3">
      <c r="B122" s="416" t="s">
        <v>71</v>
      </c>
      <c r="C122" s="416"/>
      <c r="E122" s="307" t="s">
        <v>72</v>
      </c>
      <c r="F122" s="362"/>
      <c r="G122" s="416" t="s">
        <v>73</v>
      </c>
      <c r="H122" s="416"/>
    </row>
    <row r="123" spans="1:10" x14ac:dyDescent="0.3">
      <c r="A123" s="363" t="s">
        <v>74</v>
      </c>
      <c r="B123" s="364"/>
      <c r="C123" s="364"/>
      <c r="E123" s="364"/>
      <c r="F123" s="187"/>
      <c r="G123" s="365"/>
      <c r="H123" s="365"/>
    </row>
    <row r="124" spans="1:10" x14ac:dyDescent="0.3">
      <c r="A124" s="363" t="s">
        <v>75</v>
      </c>
      <c r="B124" s="366"/>
      <c r="C124" s="366"/>
      <c r="E124" s="366"/>
      <c r="F124" s="187"/>
      <c r="G124" s="367"/>
      <c r="H124" s="367"/>
    </row>
    <row r="125" spans="1:10" x14ac:dyDescent="0.3">
      <c r="A125" s="291"/>
      <c r="B125" s="291"/>
      <c r="C125" s="292"/>
      <c r="D125" s="292"/>
      <c r="E125" s="292"/>
      <c r="F125" s="297"/>
      <c r="G125" s="292"/>
      <c r="H125" s="292"/>
      <c r="I125" s="187"/>
    </row>
    <row r="126" spans="1:10" x14ac:dyDescent="0.3">
      <c r="A126" s="291"/>
      <c r="B126" s="291"/>
      <c r="C126" s="292"/>
      <c r="D126" s="292"/>
      <c r="E126" s="292"/>
      <c r="F126" s="297"/>
      <c r="G126" s="292"/>
      <c r="H126" s="292"/>
      <c r="I126" s="187"/>
    </row>
    <row r="127" spans="1:10" x14ac:dyDescent="0.3">
      <c r="A127" s="291"/>
      <c r="B127" s="291"/>
      <c r="C127" s="292"/>
      <c r="D127" s="292"/>
      <c r="E127" s="292"/>
      <c r="F127" s="297"/>
      <c r="G127" s="292"/>
      <c r="H127" s="292"/>
      <c r="I127" s="187"/>
    </row>
    <row r="128" spans="1:10" x14ac:dyDescent="0.3">
      <c r="A128" s="291"/>
      <c r="B128" s="291"/>
      <c r="C128" s="292"/>
      <c r="D128" s="292"/>
      <c r="E128" s="292"/>
      <c r="F128" s="297"/>
      <c r="G128" s="292"/>
      <c r="H128" s="292"/>
      <c r="I128" s="187"/>
    </row>
    <row r="129" spans="1:9" x14ac:dyDescent="0.3">
      <c r="A129" s="291"/>
      <c r="B129" s="291"/>
      <c r="C129" s="292"/>
      <c r="D129" s="292"/>
      <c r="E129" s="292"/>
      <c r="F129" s="297"/>
      <c r="G129" s="292"/>
      <c r="H129" s="292"/>
      <c r="I129" s="187"/>
    </row>
    <row r="130" spans="1:9" x14ac:dyDescent="0.3">
      <c r="A130" s="291"/>
      <c r="B130" s="291"/>
      <c r="C130" s="292"/>
      <c r="D130" s="292"/>
      <c r="E130" s="292"/>
      <c r="F130" s="297"/>
      <c r="G130" s="292"/>
      <c r="H130" s="292"/>
      <c r="I130" s="187"/>
    </row>
    <row r="131" spans="1:9" x14ac:dyDescent="0.3">
      <c r="A131" s="291"/>
      <c r="B131" s="291"/>
      <c r="C131" s="292"/>
      <c r="D131" s="292"/>
      <c r="E131" s="292"/>
      <c r="F131" s="297"/>
      <c r="G131" s="292"/>
      <c r="H131" s="292"/>
      <c r="I131" s="187"/>
    </row>
    <row r="132" spans="1:9" x14ac:dyDescent="0.3">
      <c r="A132" s="291"/>
      <c r="B132" s="291"/>
      <c r="C132" s="292"/>
      <c r="D132" s="292"/>
      <c r="E132" s="292"/>
      <c r="F132" s="297"/>
      <c r="G132" s="292"/>
      <c r="H132" s="292"/>
      <c r="I132" s="187"/>
    </row>
    <row r="133" spans="1:9" x14ac:dyDescent="0.3">
      <c r="A133" s="291"/>
      <c r="B133" s="291"/>
      <c r="C133" s="292"/>
      <c r="D133" s="292"/>
      <c r="E133" s="292"/>
      <c r="F133" s="297"/>
      <c r="G133" s="292"/>
      <c r="H133" s="292"/>
      <c r="I133" s="187"/>
    </row>
    <row r="250" spans="1:1" x14ac:dyDescent="0.3">
      <c r="A250" s="2">
        <v>5</v>
      </c>
    </row>
  </sheetData>
  <sheetProtection formatCells="0" formatColumns="0" formatRows="0" insertColumns="0" insertRows="0" insertHyperlinks="0" deleteColumns="0" deleteRows="0" sort="0" autoFilter="0" pivotTables="0"/>
  <mergeCells count="34"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8" priority="1" operator="greaterThan">
      <formula>0.02</formula>
    </cfRule>
  </conditionalFormatting>
  <conditionalFormatting sqref="D51">
    <cfRule type="cellIs" dxfId="27" priority="2" operator="greaterThan">
      <formula>0.02</formula>
    </cfRule>
  </conditionalFormatting>
  <conditionalFormatting sqref="H73">
    <cfRule type="cellIs" dxfId="26" priority="3" operator="greaterThan">
      <formula>0.02</formula>
    </cfRule>
  </conditionalFormatting>
  <conditionalFormatting sqref="D104">
    <cfRule type="cellIs" dxfId="25" priority="4" operator="greaterThan">
      <formula>0.02</formula>
    </cfRule>
  </conditionalFormatting>
  <conditionalFormatting sqref="I39">
    <cfRule type="cellIs" dxfId="24" priority="5" operator="lessThanOrEqual">
      <formula>0.02</formula>
    </cfRule>
  </conditionalFormatting>
  <conditionalFormatting sqref="I39">
    <cfRule type="cellIs" dxfId="23" priority="6" operator="greaterThan">
      <formula>0.02</formula>
    </cfRule>
  </conditionalFormatting>
  <conditionalFormatting sqref="I92">
    <cfRule type="cellIs" dxfId="22" priority="7" operator="lessThanOrEqual">
      <formula>0.02</formula>
    </cfRule>
  </conditionalFormatting>
  <conditionalFormatting sqref="I92">
    <cfRule type="cellIs" dxfId="21" priority="8" operator="greaterThan">
      <formula>0.02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8.7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56" t="s">
        <v>76</v>
      </c>
      <c r="B11" s="457"/>
      <c r="C11" s="457"/>
      <c r="D11" s="457"/>
      <c r="E11" s="457"/>
      <c r="F11" s="458"/>
      <c r="G11" s="409"/>
    </row>
    <row r="12" spans="1:7" ht="16.5" customHeight="1" x14ac:dyDescent="0.3">
      <c r="A12" s="455" t="s">
        <v>99</v>
      </c>
      <c r="B12" s="455"/>
      <c r="C12" s="455"/>
      <c r="D12" s="455"/>
      <c r="E12" s="455"/>
      <c r="F12" s="455"/>
      <c r="G12" s="408"/>
    </row>
    <row r="14" spans="1:7" ht="16.5" customHeight="1" x14ac:dyDescent="0.3">
      <c r="A14" s="460" t="s">
        <v>1</v>
      </c>
      <c r="B14" s="460"/>
      <c r="C14" s="378" t="s">
        <v>2</v>
      </c>
    </row>
    <row r="15" spans="1:7" ht="16.5" customHeight="1" x14ac:dyDescent="0.3">
      <c r="A15" s="460" t="s">
        <v>3</v>
      </c>
      <c r="B15" s="460"/>
      <c r="C15" s="378" t="s">
        <v>4</v>
      </c>
    </row>
    <row r="16" spans="1:7" ht="16.5" customHeight="1" x14ac:dyDescent="0.3">
      <c r="A16" s="460" t="s">
        <v>5</v>
      </c>
      <c r="B16" s="460"/>
      <c r="C16" s="378" t="s">
        <v>6</v>
      </c>
    </row>
    <row r="17" spans="1:5" ht="16.5" customHeight="1" x14ac:dyDescent="0.3">
      <c r="A17" s="460" t="s">
        <v>7</v>
      </c>
      <c r="B17" s="460"/>
      <c r="C17" s="378" t="s">
        <v>6</v>
      </c>
    </row>
    <row r="18" spans="1:5" ht="16.5" customHeight="1" x14ac:dyDescent="0.3">
      <c r="A18" s="460" t="s">
        <v>8</v>
      </c>
      <c r="B18" s="460"/>
      <c r="C18" s="415" t="s">
        <v>9</v>
      </c>
    </row>
    <row r="19" spans="1:5" ht="16.5" customHeight="1" x14ac:dyDescent="0.3">
      <c r="A19" s="460" t="s">
        <v>10</v>
      </c>
      <c r="B19" s="460"/>
      <c r="C19" s="415" t="e">
        <f>#REF!</f>
        <v>#REF!</v>
      </c>
    </row>
    <row r="20" spans="1:5" ht="16.5" customHeight="1" x14ac:dyDescent="0.3">
      <c r="A20" s="380"/>
      <c r="B20" s="380"/>
      <c r="C20" s="395"/>
    </row>
    <row r="21" spans="1:5" ht="16.5" customHeight="1" x14ac:dyDescent="0.3">
      <c r="A21" s="455" t="s">
        <v>11</v>
      </c>
      <c r="B21" s="455"/>
      <c r="C21" s="377" t="s">
        <v>100</v>
      </c>
      <c r="D21" s="384"/>
    </row>
    <row r="22" spans="1:5" ht="15.75" customHeight="1" x14ac:dyDescent="0.3">
      <c r="A22" s="459"/>
      <c r="B22" s="459"/>
      <c r="C22" s="375"/>
      <c r="D22" s="459"/>
      <c r="E22" s="459"/>
    </row>
    <row r="23" spans="1:5" ht="33.75" customHeight="1" x14ac:dyDescent="0.3">
      <c r="C23" s="404" t="s">
        <v>101</v>
      </c>
      <c r="D23" s="403" t="s">
        <v>102</v>
      </c>
      <c r="E23" s="370"/>
    </row>
    <row r="24" spans="1:5" ht="15.75" customHeight="1" x14ac:dyDescent="0.3">
      <c r="C24" s="413">
        <v>270.63</v>
      </c>
      <c r="D24" s="405">
        <f t="shared" ref="D24:D43" si="0">(C24-$C$46)/$C$46</f>
        <v>2.2885760181423284E-2</v>
      </c>
      <c r="E24" s="371"/>
    </row>
    <row r="25" spans="1:5" ht="15.75" customHeight="1" x14ac:dyDescent="0.3">
      <c r="C25" s="413">
        <v>263.23</v>
      </c>
      <c r="D25" s="406">
        <f t="shared" si="0"/>
        <v>-5.0836246810919928E-3</v>
      </c>
      <c r="E25" s="371"/>
    </row>
    <row r="26" spans="1:5" ht="15.75" customHeight="1" x14ac:dyDescent="0.3">
      <c r="C26" s="413">
        <v>260.74</v>
      </c>
      <c r="D26" s="406">
        <f t="shared" si="0"/>
        <v>-1.4494944722668142E-2</v>
      </c>
      <c r="E26" s="371"/>
    </row>
    <row r="27" spans="1:5" ht="15.75" customHeight="1" x14ac:dyDescent="0.3">
      <c r="C27" s="413">
        <v>262.49</v>
      </c>
      <c r="D27" s="406">
        <f t="shared" si="0"/>
        <v>-7.8805631673435628E-3</v>
      </c>
      <c r="E27" s="371"/>
    </row>
    <row r="28" spans="1:5" ht="15.75" customHeight="1" x14ac:dyDescent="0.3">
      <c r="C28" s="413">
        <v>266.36</v>
      </c>
      <c r="D28" s="406">
        <f t="shared" si="0"/>
        <v>6.7466691864313802E-3</v>
      </c>
      <c r="E28" s="371"/>
    </row>
    <row r="29" spans="1:5" ht="15.75" customHeight="1" x14ac:dyDescent="0.3">
      <c r="C29" s="413">
        <v>271</v>
      </c>
      <c r="D29" s="406">
        <f t="shared" si="0"/>
        <v>2.428422942454907E-2</v>
      </c>
      <c r="E29" s="371"/>
    </row>
    <row r="30" spans="1:5" ht="15.75" customHeight="1" x14ac:dyDescent="0.3">
      <c r="C30" s="413">
        <v>258.02999999999997</v>
      </c>
      <c r="D30" s="406">
        <f t="shared" si="0"/>
        <v>-2.473778701691377E-2</v>
      </c>
      <c r="E30" s="371"/>
    </row>
    <row r="31" spans="1:5" ht="15.75" customHeight="1" x14ac:dyDescent="0.3">
      <c r="C31" s="413">
        <v>268.79000000000002</v>
      </c>
      <c r="D31" s="406">
        <f t="shared" si="0"/>
        <v>1.5931210431824962E-2</v>
      </c>
      <c r="E31" s="371"/>
    </row>
    <row r="32" spans="1:5" ht="15.75" customHeight="1" x14ac:dyDescent="0.3">
      <c r="C32" s="413">
        <v>267.69</v>
      </c>
      <c r="D32" s="406">
        <f t="shared" si="0"/>
        <v>1.1773599168478E-2</v>
      </c>
      <c r="E32" s="371"/>
    </row>
    <row r="33" spans="1:7" ht="15.75" customHeight="1" x14ac:dyDescent="0.3">
      <c r="C33" s="413">
        <v>259.91000000000003</v>
      </c>
      <c r="D33" s="406">
        <f t="shared" si="0"/>
        <v>-1.7632051403193454E-2</v>
      </c>
      <c r="E33" s="371"/>
    </row>
    <row r="34" spans="1:7" ht="15.75" customHeight="1" x14ac:dyDescent="0.3">
      <c r="C34" s="413">
        <v>264.5</v>
      </c>
      <c r="D34" s="406">
        <f t="shared" si="0"/>
        <v>-2.8347349522793842E-4</v>
      </c>
      <c r="E34" s="371"/>
    </row>
    <row r="35" spans="1:7" ht="15.75" customHeight="1" x14ac:dyDescent="0.3">
      <c r="C35" s="413">
        <v>265.44</v>
      </c>
      <c r="D35" s="406">
        <f t="shared" si="0"/>
        <v>3.2693943116321126E-3</v>
      </c>
      <c r="E35" s="371"/>
    </row>
    <row r="36" spans="1:7" ht="15.75" customHeight="1" x14ac:dyDescent="0.3">
      <c r="C36" s="413">
        <v>264.74</v>
      </c>
      <c r="D36" s="406">
        <f t="shared" si="0"/>
        <v>6.2364168950232392E-4</v>
      </c>
      <c r="E36" s="371"/>
    </row>
    <row r="37" spans="1:7" ht="15.75" customHeight="1" x14ac:dyDescent="0.3">
      <c r="C37" s="413">
        <v>264.77999999999997</v>
      </c>
      <c r="D37" s="406">
        <f t="shared" si="0"/>
        <v>7.7482755362389105E-4</v>
      </c>
      <c r="E37" s="371"/>
    </row>
    <row r="38" spans="1:7" ht="15.75" customHeight="1" x14ac:dyDescent="0.3">
      <c r="C38" s="413">
        <v>254.68</v>
      </c>
      <c r="D38" s="406">
        <f t="shared" si="0"/>
        <v>-3.7399603137106406E-2</v>
      </c>
      <c r="E38" s="371"/>
    </row>
    <row r="39" spans="1:7" ht="15.75" customHeight="1" x14ac:dyDescent="0.3">
      <c r="C39" s="413">
        <v>265.47000000000003</v>
      </c>
      <c r="D39" s="406">
        <f t="shared" si="0"/>
        <v>3.3827837097235025E-3</v>
      </c>
      <c r="E39" s="371"/>
    </row>
    <row r="40" spans="1:7" ht="15.75" customHeight="1" x14ac:dyDescent="0.3">
      <c r="C40" s="413">
        <v>262.91000000000003</v>
      </c>
      <c r="D40" s="406">
        <f t="shared" si="0"/>
        <v>-6.2931115940656045E-3</v>
      </c>
      <c r="E40" s="371"/>
    </row>
    <row r="41" spans="1:7" ht="15.75" customHeight="1" x14ac:dyDescent="0.3">
      <c r="C41" s="413">
        <v>268.47000000000003</v>
      </c>
      <c r="D41" s="406">
        <f t="shared" si="0"/>
        <v>1.4721723518851352E-2</v>
      </c>
      <c r="E41" s="371"/>
    </row>
    <row r="42" spans="1:7" ht="15.75" customHeight="1" x14ac:dyDescent="0.3">
      <c r="C42" s="413">
        <v>262.14999999999998</v>
      </c>
      <c r="D42" s="406">
        <f t="shared" si="0"/>
        <v>-9.1656430123781725E-3</v>
      </c>
      <c r="E42" s="371"/>
    </row>
    <row r="43" spans="1:7" ht="16.5" customHeight="1" x14ac:dyDescent="0.3">
      <c r="C43" s="414">
        <v>269.49</v>
      </c>
      <c r="D43" s="407">
        <f t="shared" si="0"/>
        <v>1.8576963053954752E-2</v>
      </c>
      <c r="E43" s="371"/>
    </row>
    <row r="44" spans="1:7" ht="16.5" customHeight="1" x14ac:dyDescent="0.3">
      <c r="C44" s="372"/>
      <c r="D44" s="371"/>
      <c r="E44" s="373"/>
    </row>
    <row r="45" spans="1:7" ht="16.5" customHeight="1" x14ac:dyDescent="0.3">
      <c r="B45" s="400" t="s">
        <v>103</v>
      </c>
      <c r="C45" s="401">
        <f>SUM(C24:C44)</f>
        <v>5291.4999999999991</v>
      </c>
      <c r="D45" s="396"/>
      <c r="E45" s="372"/>
    </row>
    <row r="46" spans="1:7" ht="17.25" customHeight="1" x14ac:dyDescent="0.3">
      <c r="B46" s="400" t="s">
        <v>104</v>
      </c>
      <c r="C46" s="402">
        <f>AVERAGE(C24:C44)</f>
        <v>264.57499999999993</v>
      </c>
      <c r="E46" s="374"/>
    </row>
    <row r="47" spans="1:7" ht="17.25" customHeight="1" x14ac:dyDescent="0.3">
      <c r="A47" s="378"/>
      <c r="B47" s="397"/>
      <c r="D47" s="376"/>
      <c r="E47" s="374"/>
    </row>
    <row r="48" spans="1:7" ht="33.75" customHeight="1" x14ac:dyDescent="0.3">
      <c r="B48" s="410" t="s">
        <v>104</v>
      </c>
      <c r="C48" s="403" t="s">
        <v>105</v>
      </c>
      <c r="D48" s="398"/>
      <c r="G48" s="376"/>
    </row>
    <row r="49" spans="1:6" ht="17.25" customHeight="1" x14ac:dyDescent="0.3">
      <c r="B49" s="453">
        <f>C46</f>
        <v>264.57499999999993</v>
      </c>
      <c r="C49" s="411">
        <f>-IF(C46&lt;=80,10%,IF(C46&lt;250,7.5%,5%))</f>
        <v>-0.05</v>
      </c>
      <c r="D49" s="399">
        <f>IF(C46&lt;=80,C46*0.9,IF(C46&lt;250,C46*0.925,C46*0.95))</f>
        <v>251.34624999999991</v>
      </c>
    </row>
    <row r="50" spans="1:6" ht="17.25" customHeight="1" x14ac:dyDescent="0.3">
      <c r="B50" s="454"/>
      <c r="C50" s="412">
        <f>IF(C46&lt;=80, 10%, IF(C46&lt;250, 7.5%, 5%))</f>
        <v>0.05</v>
      </c>
      <c r="D50" s="399">
        <f>IF(C46&lt;=80, C46*1.1, IF(C46&lt;250, C46*1.075, C46*1.05))</f>
        <v>277.80374999999992</v>
      </c>
    </row>
    <row r="51" spans="1:6" ht="16.5" customHeight="1" x14ac:dyDescent="0.3">
      <c r="A51" s="381"/>
      <c r="B51" s="382"/>
      <c r="C51" s="378"/>
      <c r="D51" s="383"/>
      <c r="E51" s="378"/>
      <c r="F51" s="384"/>
    </row>
    <row r="52" spans="1:6" ht="16.5" customHeight="1" x14ac:dyDescent="0.3">
      <c r="A52" s="378"/>
      <c r="B52" s="385" t="s">
        <v>71</v>
      </c>
      <c r="C52" s="385"/>
      <c r="D52" s="386" t="s">
        <v>72</v>
      </c>
      <c r="E52" s="387"/>
      <c r="F52" s="386" t="s">
        <v>73</v>
      </c>
    </row>
    <row r="53" spans="1:6" ht="34.5" customHeight="1" x14ac:dyDescent="0.3">
      <c r="A53" s="388" t="s">
        <v>74</v>
      </c>
      <c r="B53" s="389"/>
      <c r="C53" s="390"/>
      <c r="D53" s="389"/>
      <c r="E53" s="379"/>
      <c r="F53" s="391"/>
    </row>
    <row r="54" spans="1:6" ht="34.5" customHeight="1" x14ac:dyDescent="0.3">
      <c r="A54" s="388" t="s">
        <v>75</v>
      </c>
      <c r="B54" s="392"/>
      <c r="C54" s="393"/>
      <c r="D54" s="392"/>
      <c r="E54" s="379"/>
      <c r="F54" s="394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</vt:lpstr>
      <vt:lpstr>Clopidogrel</vt:lpstr>
      <vt:lpstr>SST (2)</vt:lpstr>
      <vt:lpstr>Aspirin</vt:lpstr>
      <vt:lpstr>Uniformity</vt:lpstr>
      <vt:lpstr>SST!Print_Area</vt:lpstr>
      <vt:lpstr>'SST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dcterms:created xsi:type="dcterms:W3CDTF">2005-07-05T10:19:27Z</dcterms:created>
  <dcterms:modified xsi:type="dcterms:W3CDTF">2015-07-04T01:53:05Z</dcterms:modified>
</cp:coreProperties>
</file>