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tabRatio="697" firstSheet="1" activeTab="3"/>
  </bookViews>
  <sheets>
    <sheet name="Sheet1" sheetId="1" r:id="rId1"/>
    <sheet name="Uniformity" sheetId="2" r:id="rId2"/>
    <sheet name="Glucose anhydrous" sheetId="6" r:id="rId3"/>
    <sheet name="sodium citrate Dihydrate " sheetId="7" r:id="rId4"/>
    <sheet name="Nacl" sheetId="8" r:id="rId5"/>
  </sheets>
  <definedNames>
    <definedName name="_xlnm.Print_Area" localSheetId="2">'Glucose anhydrous'!$A$1:$I$53</definedName>
    <definedName name="_xlnm.Print_Area" localSheetId="4">Nacl!$A$1:$I$65</definedName>
    <definedName name="_xlnm.Print_Area" localSheetId="3">'sodium citrate Dihydrate '!$A$1:$I$65</definedName>
  </definedNames>
  <calcPr calcId="144525"/>
</workbook>
</file>

<file path=xl/calcChain.xml><?xml version="1.0" encoding="utf-8"?>
<calcChain xmlns="http://schemas.openxmlformats.org/spreadsheetml/2006/main">
  <c r="I44" i="6" l="1"/>
  <c r="B47" i="7"/>
  <c r="B47" i="8"/>
  <c r="B45" i="8"/>
  <c r="B47" i="2"/>
  <c r="I32" i="6" l="1"/>
  <c r="G32" i="6"/>
  <c r="H32" i="6"/>
  <c r="B46" i="6"/>
  <c r="G38" i="6" l="1"/>
  <c r="B55" i="8" l="1"/>
  <c r="B54" i="8"/>
  <c r="E54" i="8" s="1"/>
  <c r="B53" i="8"/>
  <c r="E53" i="8" s="1"/>
  <c r="B49" i="8"/>
  <c r="D59" i="8"/>
  <c r="D57" i="8"/>
  <c r="D58" i="8" s="1"/>
  <c r="B57" i="8"/>
  <c r="I56" i="8"/>
  <c r="H56" i="8"/>
  <c r="G56" i="8"/>
  <c r="F56" i="8"/>
  <c r="E56" i="8"/>
  <c r="E55" i="8"/>
  <c r="C49" i="8"/>
  <c r="C45" i="8"/>
  <c r="B44" i="8"/>
  <c r="G37" i="8"/>
  <c r="F37" i="8"/>
  <c r="E37" i="8"/>
  <c r="C37" i="8"/>
  <c r="C36" i="8"/>
  <c r="E36" i="8" s="1"/>
  <c r="F36" i="8" s="1"/>
  <c r="C35" i="8"/>
  <c r="E35" i="8" s="1"/>
  <c r="G35" i="8" s="1"/>
  <c r="C34" i="8"/>
  <c r="E34" i="8" s="1"/>
  <c r="E40" i="8" l="1"/>
  <c r="F35" i="8"/>
  <c r="G36" i="8"/>
  <c r="F34" i="8"/>
  <c r="F38" i="8" s="1"/>
  <c r="G34" i="8"/>
  <c r="E38" i="8"/>
  <c r="E39" i="8" s="1"/>
  <c r="G38" i="8" l="1"/>
  <c r="F53" i="8" s="1"/>
  <c r="G53" i="8" s="1"/>
  <c r="H53" i="8" s="1"/>
  <c r="F55" i="8"/>
  <c r="G55" i="8" s="1"/>
  <c r="H55" i="8" s="1"/>
  <c r="I55" i="8" s="1"/>
  <c r="F54" i="8" l="1"/>
  <c r="G54" i="8" s="1"/>
  <c r="H54" i="8" s="1"/>
  <c r="I54" i="8" s="1"/>
  <c r="I53" i="8"/>
  <c r="H57" i="8" l="1"/>
  <c r="H58" i="8" s="1"/>
  <c r="G59" i="8"/>
  <c r="G57" i="8"/>
  <c r="H59" i="8"/>
  <c r="I59" i="8"/>
  <c r="I57" i="8"/>
  <c r="I58" i="8" s="1"/>
  <c r="B45" i="7" l="1"/>
  <c r="D43" i="2" l="1"/>
  <c r="D42" i="2"/>
  <c r="D59" i="7" l="1"/>
  <c r="D57" i="7"/>
  <c r="D58" i="7" s="1"/>
  <c r="B57" i="7"/>
  <c r="I56" i="7"/>
  <c r="H56" i="7"/>
  <c r="G56" i="7"/>
  <c r="F56" i="7"/>
  <c r="E56" i="7"/>
  <c r="E55" i="7"/>
  <c r="E54" i="7"/>
  <c r="E53" i="7"/>
  <c r="C49" i="7"/>
  <c r="C45" i="7"/>
  <c r="B44" i="7"/>
  <c r="G37" i="7"/>
  <c r="F37" i="7"/>
  <c r="E37" i="7"/>
  <c r="C37" i="7"/>
  <c r="C36" i="7"/>
  <c r="E36" i="7" s="1"/>
  <c r="C35" i="7"/>
  <c r="E35" i="7" s="1"/>
  <c r="C34" i="7"/>
  <c r="E34" i="7" s="1"/>
  <c r="C48" i="6"/>
  <c r="I43" i="6"/>
  <c r="H43" i="6"/>
  <c r="G43" i="6"/>
  <c r="G42" i="6"/>
  <c r="H42" i="6" s="1"/>
  <c r="I42" i="6" s="1"/>
  <c r="H41" i="6"/>
  <c r="I41" i="6" s="1"/>
  <c r="G41" i="6"/>
  <c r="I39" i="6"/>
  <c r="H39" i="6"/>
  <c r="G39" i="6"/>
  <c r="H38" i="6"/>
  <c r="I38" i="6" s="1"/>
  <c r="G37" i="6"/>
  <c r="H37" i="6" s="1"/>
  <c r="I37" i="6" s="1"/>
  <c r="I35" i="6"/>
  <c r="H35" i="6"/>
  <c r="G35" i="6"/>
  <c r="G34" i="6"/>
  <c r="H34" i="6" s="1"/>
  <c r="I34" i="6" s="1"/>
  <c r="G33" i="6"/>
  <c r="H33" i="6" s="1"/>
  <c r="I33" i="6" s="1"/>
  <c r="E28" i="6"/>
  <c r="C43" i="2"/>
  <c r="B43" i="2"/>
  <c r="C42" i="2"/>
  <c r="B42" i="2"/>
  <c r="D30" i="2"/>
  <c r="E30" i="2" s="1"/>
  <c r="D29" i="2"/>
  <c r="D28" i="2"/>
  <c r="E28" i="2" s="1"/>
  <c r="D27" i="2"/>
  <c r="E27" i="2" s="1"/>
  <c r="D26" i="2"/>
  <c r="E26" i="2" s="1"/>
  <c r="D25" i="2"/>
  <c r="D24" i="2"/>
  <c r="E24" i="2" s="1"/>
  <c r="D23" i="2"/>
  <c r="E23" i="2" s="1"/>
  <c r="D22" i="2"/>
  <c r="D21" i="2"/>
  <c r="G36" i="6" l="1"/>
  <c r="H36" i="6" s="1"/>
  <c r="I36" i="6" s="1"/>
  <c r="G40" i="6"/>
  <c r="H40" i="6" s="1"/>
  <c r="I40" i="6" s="1"/>
  <c r="G36" i="7"/>
  <c r="F36" i="7"/>
  <c r="G34" i="7"/>
  <c r="F34" i="7"/>
  <c r="E40" i="7"/>
  <c r="E38" i="7"/>
  <c r="E39" i="7" s="1"/>
  <c r="C48" i="2"/>
  <c r="D48" i="2"/>
  <c r="D47" i="2"/>
  <c r="C47" i="2"/>
  <c r="E25" i="2"/>
  <c r="E29" i="2"/>
  <c r="G35" i="7"/>
  <c r="F35" i="7"/>
  <c r="E22" i="2"/>
  <c r="E21" i="2"/>
  <c r="H44" i="6" l="1"/>
  <c r="H45" i="6" s="1"/>
  <c r="H46" i="6"/>
  <c r="I46" i="6"/>
  <c r="G48" i="6"/>
  <c r="I45" i="6"/>
  <c r="F38" i="7"/>
  <c r="G38" i="7"/>
  <c r="F53" i="7" l="1"/>
  <c r="G53" i="7" s="1"/>
  <c r="F54" i="7"/>
  <c r="G54" i="7" s="1"/>
  <c r="H54" i="7" s="1"/>
  <c r="I54" i="7" s="1"/>
  <c r="F55" i="7"/>
  <c r="G55" i="7" s="1"/>
  <c r="H55" i="7" s="1"/>
  <c r="I55" i="7" s="1"/>
  <c r="H53" i="7" l="1"/>
  <c r="G57" i="7"/>
  <c r="G59" i="7"/>
  <c r="H57" i="7" l="1"/>
  <c r="H58" i="7" s="1"/>
  <c r="H59" i="7"/>
  <c r="I53" i="7"/>
  <c r="I59" i="7" l="1"/>
  <c r="I57" i="7"/>
  <c r="I58" i="7" s="1"/>
</calcChain>
</file>

<file path=xl/sharedStrings.xml><?xml version="1.0" encoding="utf-8"?>
<sst xmlns="http://schemas.openxmlformats.org/spreadsheetml/2006/main" count="211" uniqueCount="101">
  <si>
    <t>Please enter the required information in the cells highlighted in green</t>
  </si>
  <si>
    <t>Uniformity of Weight Test Report</t>
  </si>
  <si>
    <t>Sample Name:</t>
  </si>
  <si>
    <t>Oral Rehydration Salts</t>
  </si>
  <si>
    <t>Laboratory Ref No:</t>
  </si>
  <si>
    <t>NDQD201411956</t>
  </si>
  <si>
    <t>Active Ingredient:</t>
  </si>
  <si>
    <t>ORS</t>
  </si>
  <si>
    <t>Label Claim:</t>
  </si>
  <si>
    <t>Date Analysis Started:</t>
  </si>
  <si>
    <t>Date Analysis Completed: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</si>
  <si>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</si>
  <si>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</si>
  <si>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</si>
  <si>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</si>
  <si>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</si>
  <si>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</si>
  <si>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</si>
  <si>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</si>
  <si>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</si>
  <si>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</si>
  <si>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</si>
  <si>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</si>
  <si>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</si>
  <si>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</si>
  <si>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</si>
  <si>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</si>
  <si>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</si>
  <si>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Analysis Report</t>
  </si>
  <si>
    <t>Standardisation of Perchloric Acid</t>
  </si>
  <si>
    <t>Reference Substance: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</si>
  <si>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</si>
  <si>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</si>
  <si>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</si>
  <si>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</si>
  <si>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</si>
  <si>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</si>
  <si>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</si>
  <si>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</si>
  <si>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</si>
  <si>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</si>
  <si>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</si>
  <si>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</si>
  <si>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</si>
  <si>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</si>
  <si>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</si>
  <si>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</si>
  <si>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</si>
  <si>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</si>
  <si>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</si>
  <si>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</si>
  <si>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</si>
  <si>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</si>
  <si>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Each mL of 0.1M perchloric acid VS is Equivalent to</t>
  </si>
  <si>
    <t>Actual Amount (mg)</t>
  </si>
  <si>
    <t>Sample</t>
  </si>
  <si>
    <t>Weight (mg)</t>
  </si>
  <si>
    <t>Titre Vol. (mL)</t>
  </si>
  <si>
    <t>Blank</t>
  </si>
  <si>
    <t>Blank Correction</t>
  </si>
  <si>
    <t>Corrected Titre</t>
  </si>
  <si>
    <t>In sample</t>
  </si>
  <si>
    <t>Per Tablet</t>
  </si>
  <si>
    <t>Percentage content</t>
  </si>
  <si>
    <t>Each</t>
  </si>
  <si>
    <t>contains</t>
  </si>
  <si>
    <t>National Quality Control Laboratory</t>
  </si>
  <si>
    <t>Conversion Factor:</t>
  </si>
  <si>
    <t>Initial Sample dilution (mL):</t>
  </si>
  <si>
    <t>Sample Vol (mL)</t>
  </si>
  <si>
    <t>Injection</t>
  </si>
  <si>
    <t>Response:</t>
  </si>
  <si>
    <t>Amt in sample (mg)</t>
  </si>
  <si>
    <t>Amt per label claim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</si>
  <si>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</si>
  <si>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</si>
  <si>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</si>
  <si>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</si>
  <si>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</si>
  <si>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</si>
  <si>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</si>
  <si>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</si>
  <si>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</si>
  <si>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</si>
  <si>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</si>
  <si>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</si>
  <si>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</si>
  <si>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If there are no serial dilutions, or only one dilution, enter 1 in all boxes not used.</t>
  </si>
  <si>
    <t>Average:</t>
  </si>
  <si>
    <t>Comment:</t>
  </si>
  <si>
    <t xml:space="preserve">The content of </t>
  </si>
  <si>
    <t xml:space="preserve">in the sample as a percentage of the stated  label claim is </t>
  </si>
  <si>
    <t>Potassium Hydrogen Phthalate</t>
  </si>
  <si>
    <t>Oral Rehydration salt</t>
  </si>
  <si>
    <t>CITRATE</t>
  </si>
  <si>
    <t>Each Satchet contains Trisodium Citrate Dihydrate 2.9 g</t>
  </si>
  <si>
    <t>Sodium chloride</t>
  </si>
  <si>
    <t>Each mL of 0.1M Silver nitrate VS is Equivalent to</t>
  </si>
  <si>
    <t>chloride</t>
  </si>
  <si>
    <t xml:space="preserve">Glucose anhydrous </t>
  </si>
  <si>
    <t>Glucose anhydrous 13.5g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</si>
</sst>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000"/>
    <numFmt numFmtId="166" formatCode="dd\-mmm\-yyyy"/>
    <numFmt numFmtId="167" formatCode="0.0%"/>
    <numFmt numFmtId="168" formatCode="0.00\ &quot;mg&quot;"/>
    <numFmt numFmtId="169" formatCode="0.0000\ &quot;mg&quot;"/>
    <numFmt numFmtId="170" formatCode="dd\-mmm\-yy"/>
    <numFmt numFmtId="171" formatCode="0.00\ &quot;M&quot;"/>
    <numFmt numFmtId="172" formatCode="0.0\ &quot;mL&quot;"/>
    <numFmt numFmtId="173" formatCode="0\ &quot;mg&quot;"/>
    <numFmt numFmtId="174" formatCode="0.0\ &quot;mg&quot;"/>
  </numFmts>
  <fonts count="17" x14ac:knownFonts="1">
    <font>
      <sz val="10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u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52"/>
      <color rgb="FF000000"/>
      <name val="Book Antiqua"/>
    </font>
    <font>
      <b/>
      <sz val="72"/>
      <color rgb="FF000000"/>
      <name val="Book Antiqua"/>
    </font>
    <font>
      <sz val="11"/>
      <color rgb="FF000000"/>
      <name val="Calibri"/>
    </font>
    <font>
      <vertAlign val="superscript"/>
      <sz val="14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15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10" fontId="2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2" borderId="0" xfId="0" applyFont="1" applyFill="1"/>
    <xf numFmtId="166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3" borderId="4" xfId="0" applyNumberFormat="1" applyFont="1" applyFill="1" applyBorder="1" applyAlignment="1" applyProtection="1">
      <alignment horizontal="center"/>
      <protection locked="0"/>
    </xf>
    <xf numFmtId="2" fontId="1" fillId="3" borderId="3" xfId="0" applyNumberFormat="1" applyFont="1" applyFill="1" applyBorder="1" applyAlignment="1" applyProtection="1">
      <alignment horizontal="center"/>
      <protection locked="0"/>
    </xf>
    <xf numFmtId="2" fontId="1" fillId="2" borderId="3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/>
      <protection locked="0"/>
    </xf>
    <xf numFmtId="2" fontId="1" fillId="3" borderId="6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 wrapText="1"/>
      <protection locked="0"/>
    </xf>
    <xf numFmtId="1" fontId="1" fillId="2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 applyProtection="1">
      <alignment horizontal="center" wrapText="1"/>
      <protection locked="0"/>
    </xf>
    <xf numFmtId="2" fontId="1" fillId="3" borderId="7" xfId="0" applyNumberFormat="1" applyFont="1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5" fillId="2" borderId="16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167" fontId="5" fillId="2" borderId="17" xfId="0" applyNumberFormat="1" applyFont="1" applyFill="1" applyBorder="1" applyAlignment="1">
      <alignment horizontal="center"/>
    </xf>
    <xf numFmtId="168" fontId="5" fillId="2" borderId="18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/>
    </xf>
    <xf numFmtId="0" fontId="1" fillId="2" borderId="19" xfId="0" applyFont="1" applyFill="1" applyBorder="1"/>
    <xf numFmtId="10" fontId="1" fillId="2" borderId="20" xfId="0" applyNumberFormat="1" applyFont="1" applyFill="1" applyBorder="1"/>
    <xf numFmtId="0" fontId="5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22" xfId="0" applyFont="1" applyFill="1" applyBorder="1"/>
    <xf numFmtId="0" fontId="1" fillId="2" borderId="22" xfId="0" applyFont="1" applyFill="1" applyBorder="1"/>
    <xf numFmtId="0" fontId="5" fillId="2" borderId="23" xfId="0" applyFont="1" applyFill="1" applyBorder="1"/>
    <xf numFmtId="0" fontId="1" fillId="2" borderId="23" xfId="0" applyFont="1" applyFill="1" applyBorder="1"/>
    <xf numFmtId="0" fontId="7" fillId="2" borderId="0" xfId="0" applyFont="1" applyFill="1"/>
    <xf numFmtId="0" fontId="10" fillId="2" borderId="0" xfId="0" applyFont="1" applyFill="1"/>
    <xf numFmtId="0" fontId="8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right"/>
      <protection locked="0"/>
    </xf>
    <xf numFmtId="0" fontId="7" fillId="2" borderId="0" xfId="0" applyFont="1" applyFill="1" applyAlignment="1">
      <alignment horizontal="left"/>
    </xf>
    <xf numFmtId="0" fontId="12" fillId="3" borderId="0" xfId="0" applyFont="1" applyFill="1" applyAlignment="1" applyProtection="1">
      <alignment horizontal="left"/>
      <protection locked="0"/>
    </xf>
    <xf numFmtId="166" fontId="12" fillId="3" borderId="0" xfId="0" applyNumberFormat="1" applyFont="1" applyFill="1" applyAlignment="1" applyProtection="1">
      <alignment horizontal="left"/>
      <protection locked="0"/>
    </xf>
    <xf numFmtId="170" fontId="7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0" fontId="7" fillId="2" borderId="36" xfId="0" applyFont="1" applyFill="1" applyBorder="1" applyAlignment="1">
      <alignment horizontal="right"/>
    </xf>
    <xf numFmtId="0" fontId="12" fillId="3" borderId="34" xfId="0" applyFont="1" applyFill="1" applyBorder="1" applyAlignment="1" applyProtection="1">
      <alignment horizontal="center"/>
      <protection locked="0"/>
    </xf>
    <xf numFmtId="2" fontId="8" fillId="2" borderId="24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right"/>
    </xf>
    <xf numFmtId="0" fontId="12" fillId="3" borderId="40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>
      <alignment horizontal="center"/>
    </xf>
    <xf numFmtId="0" fontId="12" fillId="3" borderId="36" xfId="0" applyFont="1" applyFill="1" applyBorder="1" applyAlignment="1" applyProtection="1">
      <alignment horizontal="center"/>
      <protection locked="0"/>
    </xf>
    <xf numFmtId="2" fontId="7" fillId="2" borderId="24" xfId="0" applyNumberFormat="1" applyFont="1" applyFill="1" applyBorder="1" applyAlignment="1">
      <alignment horizontal="center"/>
    </xf>
    <xf numFmtId="0" fontId="15" fillId="2" borderId="36" xfId="0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/>
    </xf>
    <xf numFmtId="0" fontId="12" fillId="3" borderId="26" xfId="0" applyFont="1" applyFill="1" applyBorder="1" applyAlignment="1" applyProtection="1">
      <alignment horizontal="center"/>
      <protection locked="0"/>
    </xf>
    <xf numFmtId="2" fontId="7" fillId="2" borderId="41" xfId="0" applyNumberFormat="1" applyFont="1" applyFill="1" applyBorder="1" applyAlignment="1">
      <alignment horizontal="center"/>
    </xf>
    <xf numFmtId="0" fontId="15" fillId="2" borderId="26" xfId="0" applyFont="1" applyFill="1" applyBorder="1" applyAlignment="1">
      <alignment horizontal="center"/>
    </xf>
    <xf numFmtId="10" fontId="7" fillId="2" borderId="41" xfId="0" applyNumberFormat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/>
    </xf>
    <xf numFmtId="0" fontId="12" fillId="3" borderId="42" xfId="0" applyFont="1" applyFill="1" applyBorder="1" applyAlignment="1" applyProtection="1">
      <alignment horizontal="center"/>
      <protection locked="0"/>
    </xf>
    <xf numFmtId="0" fontId="15" fillId="2" borderId="42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2" fontId="7" fillId="2" borderId="25" xfId="0" applyNumberFormat="1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right"/>
    </xf>
    <xf numFmtId="0" fontId="11" fillId="2" borderId="38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right"/>
    </xf>
    <xf numFmtId="10" fontId="11" fillId="6" borderId="4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right"/>
    </xf>
    <xf numFmtId="10" fontId="11" fillId="5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11" fillId="6" borderId="8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9" fillId="2" borderId="19" xfId="0" applyFont="1" applyFill="1" applyBorder="1" applyAlignment="1">
      <alignment horizontal="right" vertical="center" wrapText="1"/>
    </xf>
    <xf numFmtId="0" fontId="7" fillId="2" borderId="19" xfId="0" applyFont="1" applyFill="1" applyBorder="1"/>
    <xf numFmtId="0" fontId="8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22" xfId="0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7" fillId="2" borderId="22" xfId="0" applyFont="1" applyFill="1" applyBorder="1" applyProtection="1">
      <protection locked="0"/>
    </xf>
    <xf numFmtId="0" fontId="7" fillId="2" borderId="22" xfId="0" applyFont="1" applyFill="1" applyBorder="1"/>
    <xf numFmtId="0" fontId="8" fillId="2" borderId="23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7" fillId="2" borderId="23" xfId="0" applyFont="1" applyFill="1" applyBorder="1" applyProtection="1">
      <protection locked="0"/>
    </xf>
    <xf numFmtId="0" fontId="7" fillId="2" borderId="23" xfId="0" applyFont="1" applyFill="1" applyBorder="1"/>
    <xf numFmtId="173" fontId="11" fillId="2" borderId="0" xfId="0" applyNumberFormat="1" applyFont="1" applyFill="1" applyAlignment="1" applyProtection="1">
      <alignment horizontal="center"/>
      <protection locked="0"/>
    </xf>
    <xf numFmtId="165" fontId="11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/>
    <xf numFmtId="0" fontId="8" fillId="2" borderId="0" xfId="0" applyFont="1" applyFill="1" applyAlignment="1">
      <alignment vertical="center" wrapText="1"/>
    </xf>
    <xf numFmtId="0" fontId="7" fillId="2" borderId="0" xfId="0" applyFont="1" applyFill="1"/>
    <xf numFmtId="0" fontId="7" fillId="2" borderId="0" xfId="0" applyFont="1" applyFill="1"/>
    <xf numFmtId="0" fontId="7" fillId="3" borderId="0" xfId="0" applyFont="1" applyFill="1" applyProtection="1">
      <protection locked="0"/>
    </xf>
    <xf numFmtId="0" fontId="9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3" borderId="0" xfId="0" applyFont="1" applyFill="1" applyAlignment="1" applyProtection="1">
      <alignment vertical="center"/>
      <protection locked="0"/>
    </xf>
    <xf numFmtId="170" fontId="7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7" fillId="2" borderId="26" xfId="0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2" fontId="8" fillId="2" borderId="24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7" fillId="2" borderId="22" xfId="0" applyFont="1" applyFill="1" applyBorder="1" applyAlignment="1" applyProtection="1">
      <alignment vertical="center"/>
      <protection locked="0"/>
    </xf>
    <xf numFmtId="0" fontId="7" fillId="2" borderId="22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8" fillId="2" borderId="23" xfId="0" applyFont="1" applyFill="1" applyBorder="1" applyAlignment="1" applyProtection="1">
      <alignment vertical="center"/>
      <protection locked="0"/>
    </xf>
    <xf numFmtId="0" fontId="8" fillId="2" borderId="23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8" fillId="2" borderId="21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7" fillId="2" borderId="0" xfId="0" applyFont="1" applyFill="1"/>
    <xf numFmtId="0" fontId="8" fillId="3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horizontal="left" vertical="center"/>
      <protection locked="0"/>
    </xf>
    <xf numFmtId="170" fontId="7" fillId="3" borderId="0" xfId="0" applyNumberFormat="1" applyFont="1" applyFill="1" applyAlignment="1" applyProtection="1">
      <alignment horizontal="left" vertical="center"/>
      <protection locked="0"/>
    </xf>
    <xf numFmtId="2" fontId="7" fillId="2" borderId="27" xfId="0" applyNumberFormat="1" applyFont="1" applyFill="1" applyBorder="1"/>
    <xf numFmtId="2" fontId="7" fillId="4" borderId="27" xfId="0" applyNumberFormat="1" applyFont="1" applyFill="1" applyBorder="1"/>
    <xf numFmtId="164" fontId="7" fillId="4" borderId="27" xfId="0" applyNumberFormat="1" applyFont="1" applyFill="1" applyBorder="1"/>
    <xf numFmtId="0" fontId="8" fillId="3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>
      <alignment vertical="center"/>
    </xf>
    <xf numFmtId="2" fontId="7" fillId="2" borderId="28" xfId="0" applyNumberFormat="1" applyFont="1" applyFill="1" applyBorder="1"/>
    <xf numFmtId="0" fontId="9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right"/>
    </xf>
    <xf numFmtId="0" fontId="7" fillId="2" borderId="0" xfId="0" applyFont="1" applyFill="1"/>
    <xf numFmtId="2" fontId="11" fillId="3" borderId="29" xfId="0" applyNumberFormat="1" applyFont="1" applyFill="1" applyBorder="1" applyAlignment="1" applyProtection="1">
      <alignment horizontal="center"/>
      <protection locked="0"/>
    </xf>
    <xf numFmtId="2" fontId="11" fillId="3" borderId="14" xfId="0" applyNumberFormat="1" applyFont="1" applyFill="1" applyBorder="1" applyAlignment="1" applyProtection="1">
      <alignment horizontal="center"/>
      <protection locked="0"/>
    </xf>
    <xf numFmtId="2" fontId="11" fillId="3" borderId="10" xfId="0" applyNumberFormat="1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>
      <alignment horizontal="right"/>
    </xf>
    <xf numFmtId="0" fontId="7" fillId="2" borderId="31" xfId="0" applyFont="1" applyFill="1" applyBorder="1" applyAlignment="1">
      <alignment horizontal="right"/>
    </xf>
    <xf numFmtId="10" fontId="7" fillId="5" borderId="6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right"/>
    </xf>
    <xf numFmtId="0" fontId="7" fillId="6" borderId="7" xfId="0" applyFont="1" applyFill="1" applyBorder="1" applyAlignment="1">
      <alignment horizontal="center"/>
    </xf>
    <xf numFmtId="164" fontId="8" fillId="6" borderId="17" xfId="0" applyNumberFormat="1" applyFont="1" applyFill="1" applyBorder="1" applyAlignment="1">
      <alignment horizontal="center"/>
    </xf>
    <xf numFmtId="0" fontId="7" fillId="2" borderId="0" xfId="0" applyFont="1" applyFill="1"/>
    <xf numFmtId="2" fontId="8" fillId="2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>
      <alignment horizontal="centerContinuous"/>
    </xf>
    <xf numFmtId="0" fontId="7" fillId="2" borderId="1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2" fontId="7" fillId="2" borderId="0" xfId="0" applyNumberFormat="1" applyFont="1" applyFill="1" applyAlignment="1">
      <alignment horizontal="right"/>
    </xf>
    <xf numFmtId="2" fontId="11" fillId="3" borderId="17" xfId="0" applyNumberFormat="1" applyFont="1" applyFill="1" applyBorder="1" applyAlignment="1" applyProtection="1">
      <alignment horizontal="center"/>
      <protection locked="0"/>
    </xf>
    <xf numFmtId="2" fontId="11" fillId="3" borderId="6" xfId="0" applyNumberFormat="1" applyFont="1" applyFill="1" applyBorder="1" applyAlignment="1" applyProtection="1">
      <alignment horizontal="center"/>
      <protection locked="0"/>
    </xf>
    <xf numFmtId="2" fontId="11" fillId="3" borderId="7" xfId="0" applyNumberFormat="1" applyFont="1" applyFill="1" applyBorder="1" applyAlignment="1" applyProtection="1">
      <alignment horizontal="center"/>
      <protection locked="0"/>
    </xf>
    <xf numFmtId="2" fontId="8" fillId="2" borderId="21" xfId="0" applyNumberFormat="1" applyFont="1" applyFill="1" applyBorder="1" applyAlignment="1">
      <alignment horizontal="center" vertical="center"/>
    </xf>
    <xf numFmtId="165" fontId="7" fillId="2" borderId="32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33" xfId="0" applyNumberFormat="1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 applyProtection="1">
      <alignment horizontal="center"/>
      <protection locked="0"/>
    </xf>
    <xf numFmtId="2" fontId="11" fillId="3" borderId="0" xfId="0" applyNumberFormat="1" applyFont="1" applyFill="1" applyAlignment="1" applyProtection="1">
      <alignment horizontal="left"/>
      <protection locked="0"/>
    </xf>
    <xf numFmtId="2" fontId="8" fillId="2" borderId="34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2" fontId="11" fillId="3" borderId="9" xfId="0" applyNumberFormat="1" applyFont="1" applyFill="1" applyBorder="1" applyAlignment="1" applyProtection="1">
      <alignment horizontal="center"/>
      <protection locked="0"/>
    </xf>
    <xf numFmtId="2" fontId="11" fillId="3" borderId="31" xfId="0" applyNumberFormat="1" applyFont="1" applyFill="1" applyBorder="1" applyAlignment="1" applyProtection="1">
      <alignment horizontal="center"/>
      <protection locked="0"/>
    </xf>
    <xf numFmtId="2" fontId="11" fillId="3" borderId="13" xfId="0" applyNumberFormat="1" applyFont="1" applyFill="1" applyBorder="1" applyAlignment="1" applyProtection="1">
      <alignment horizontal="center"/>
      <protection locked="0"/>
    </xf>
    <xf numFmtId="165" fontId="8" fillId="6" borderId="3" xfId="0" applyNumberFormat="1" applyFont="1" applyFill="1" applyBorder="1" applyAlignment="1">
      <alignment horizontal="center"/>
    </xf>
    <xf numFmtId="2" fontId="11" fillId="3" borderId="12" xfId="0" applyNumberFormat="1" applyFont="1" applyFill="1" applyBorder="1" applyAlignment="1" applyProtection="1">
      <alignment horizontal="center"/>
      <protection locked="0"/>
    </xf>
    <xf numFmtId="2" fontId="11" fillId="3" borderId="35" xfId="0" applyNumberFormat="1" applyFont="1" applyFill="1" applyBorder="1" applyAlignment="1" applyProtection="1">
      <alignment horizontal="center"/>
      <protection locked="0"/>
    </xf>
    <xf numFmtId="2" fontId="11" fillId="3" borderId="16" xfId="0" applyNumberFormat="1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>
      <alignment horizontal="right"/>
    </xf>
    <xf numFmtId="10" fontId="12" fillId="5" borderId="6" xfId="0" applyNumberFormat="1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2" fontId="8" fillId="2" borderId="36" xfId="0" applyNumberFormat="1" applyFont="1" applyFill="1" applyBorder="1" applyAlignment="1">
      <alignment horizontal="center" vertical="center"/>
    </xf>
    <xf numFmtId="2" fontId="11" fillId="6" borderId="3" xfId="0" applyNumberFormat="1" applyFont="1" applyFill="1" applyBorder="1" applyAlignment="1">
      <alignment horizontal="center"/>
    </xf>
    <xf numFmtId="2" fontId="7" fillId="2" borderId="32" xfId="0" applyNumberFormat="1" applyFont="1" applyFill="1" applyBorder="1" applyAlignment="1">
      <alignment horizontal="center"/>
    </xf>
    <xf numFmtId="2" fontId="7" fillId="2" borderId="32" xfId="0" applyNumberFormat="1" applyFont="1" applyFill="1" applyBorder="1" applyAlignment="1">
      <alignment horizontal="center" vertical="center"/>
    </xf>
    <xf numFmtId="2" fontId="7" fillId="2" borderId="23" xfId="0" applyNumberFormat="1" applyFont="1" applyFill="1" applyBorder="1" applyAlignment="1">
      <alignment horizontal="center" vertical="center"/>
    </xf>
    <xf numFmtId="165" fontId="7" fillId="2" borderId="17" xfId="0" applyNumberFormat="1" applyFont="1" applyFill="1" applyBorder="1" applyAlignment="1">
      <alignment horizontal="center" vertical="center"/>
    </xf>
    <xf numFmtId="165" fontId="7" fillId="2" borderId="6" xfId="0" applyNumberFormat="1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164" fontId="7" fillId="2" borderId="32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33" xfId="0" applyNumberFormat="1" applyFont="1" applyFill="1" applyBorder="1" applyAlignment="1">
      <alignment horizontal="center"/>
    </xf>
    <xf numFmtId="164" fontId="7" fillId="2" borderId="17" xfId="0" applyNumberFormat="1" applyFont="1" applyFill="1" applyBorder="1" applyAlignment="1">
      <alignment horizontal="center"/>
    </xf>
    <xf numFmtId="164" fontId="7" fillId="2" borderId="6" xfId="0" applyNumberFormat="1" applyFont="1" applyFill="1" applyBorder="1" applyAlignment="1">
      <alignment horizontal="center"/>
    </xf>
    <xf numFmtId="164" fontId="7" fillId="2" borderId="7" xfId="0" applyNumberFormat="1" applyFont="1" applyFill="1" applyBorder="1" applyAlignment="1">
      <alignment horizontal="center"/>
    </xf>
    <xf numFmtId="2" fontId="7" fillId="2" borderId="37" xfId="0" applyNumberFormat="1" applyFont="1" applyFill="1" applyBorder="1"/>
    <xf numFmtId="10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10" fontId="7" fillId="2" borderId="6" xfId="0" applyNumberFormat="1" applyFont="1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2" fontId="7" fillId="2" borderId="18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12" fillId="2" borderId="6" xfId="0" applyNumberFormat="1" applyFont="1" applyFill="1" applyBorder="1" applyAlignment="1">
      <alignment horizontal="center"/>
    </xf>
    <xf numFmtId="2" fontId="7" fillId="2" borderId="2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vertic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8" fillId="2" borderId="24" xfId="0" applyNumberFormat="1" applyFont="1" applyFill="1" applyBorder="1" applyAlignment="1">
      <alignment vertical="center"/>
    </xf>
    <xf numFmtId="10" fontId="7" fillId="2" borderId="17" xfId="0" applyNumberFormat="1" applyFont="1" applyFill="1" applyBorder="1" applyAlignment="1">
      <alignment horizontal="center"/>
    </xf>
    <xf numFmtId="10" fontId="7" fillId="2" borderId="6" xfId="0" applyNumberFormat="1" applyFont="1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10" fontId="11" fillId="6" borderId="3" xfId="0" applyNumberFormat="1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horizontal="center"/>
    </xf>
    <xf numFmtId="165" fontId="8" fillId="6" borderId="1" xfId="0" applyNumberFormat="1" applyFont="1" applyFill="1" applyBorder="1" applyAlignment="1">
      <alignment horizontal="center"/>
    </xf>
    <xf numFmtId="10" fontId="8" fillId="6" borderId="38" xfId="0" applyNumberFormat="1" applyFont="1" applyFill="1" applyBorder="1" applyAlignment="1">
      <alignment horizontal="center"/>
    </xf>
    <xf numFmtId="165" fontId="8" fillId="2" borderId="0" xfId="0" applyNumberFormat="1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5" fontId="8" fillId="3" borderId="0" xfId="0" applyNumberFormat="1" applyFont="1" applyFill="1" applyAlignment="1" applyProtection="1">
      <alignment horizontal="center" vertical="center"/>
      <protection locked="0"/>
    </xf>
    <xf numFmtId="0" fontId="8" fillId="2" borderId="2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4" fontId="11" fillId="3" borderId="0" xfId="0" applyNumberFormat="1" applyFont="1" applyFill="1" applyAlignment="1" applyProtection="1">
      <alignment horizontal="center"/>
      <protection locked="0"/>
    </xf>
    <xf numFmtId="2" fontId="11" fillId="6" borderId="4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169" fontId="5" fillId="2" borderId="24" xfId="0" applyNumberFormat="1" applyFont="1" applyFill="1" applyBorder="1" applyAlignment="1">
      <alignment horizontal="center" vertical="center"/>
    </xf>
    <xf numFmtId="169" fontId="5" fillId="2" borderId="25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9" fillId="2" borderId="2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left" vertical="center" wrapText="1"/>
    </xf>
    <xf numFmtId="0" fontId="9" fillId="2" borderId="34" xfId="0" applyFont="1" applyFill="1" applyBorder="1" applyAlignment="1">
      <alignment horizontal="left" vertical="center" wrapText="1"/>
    </xf>
    <xf numFmtId="0" fontId="9" fillId="2" borderId="42" xfId="0" applyFont="1" applyFill="1" applyBorder="1" applyAlignment="1">
      <alignment horizontal="left" vertical="center" wrapText="1"/>
    </xf>
    <xf numFmtId="0" fontId="9" fillId="2" borderId="38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2" fontId="8" fillId="2" borderId="39" xfId="0" applyNumberFormat="1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165" fontId="12" fillId="3" borderId="36" xfId="0" applyNumberFormat="1" applyFont="1" applyFill="1" applyBorder="1" applyAlignment="1" applyProtection="1">
      <alignment horizontal="center" vertical="center"/>
      <protection locked="0"/>
    </xf>
    <xf numFmtId="165" fontId="12" fillId="3" borderId="26" xfId="0" applyNumberFormat="1" applyFont="1" applyFill="1" applyBorder="1" applyAlignment="1" applyProtection="1">
      <alignment horizontal="center" vertical="center"/>
      <protection locked="0"/>
    </xf>
    <xf numFmtId="165" fontId="12" fillId="3" borderId="42" xfId="0" applyNumberFormat="1" applyFont="1" applyFill="1" applyBorder="1" applyAlignment="1" applyProtection="1">
      <alignment horizontal="center" vertical="center"/>
      <protection locked="0"/>
    </xf>
    <xf numFmtId="165" fontId="12" fillId="3" borderId="24" xfId="0" applyNumberFormat="1" applyFont="1" applyFill="1" applyBorder="1" applyAlignment="1" applyProtection="1">
      <alignment horizontal="center" vertical="center"/>
      <protection locked="0"/>
    </xf>
    <xf numFmtId="165" fontId="12" fillId="3" borderId="41" xfId="0" applyNumberFormat="1" applyFont="1" applyFill="1" applyBorder="1" applyAlignment="1" applyProtection="1">
      <alignment horizontal="center" vertical="center"/>
      <protection locked="0"/>
    </xf>
    <xf numFmtId="165" fontId="12" fillId="3" borderId="25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6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25" workbookViewId="0">
      <selection activeCell="B49" sqref="B49"/>
    </sheetView>
  </sheetViews>
  <sheetFormatPr defaultColWidth="9.140625" defaultRowHeight="13.5" x14ac:dyDescent="0.25"/>
  <cols>
    <col min="1" max="1" width="13.140625" style="22" customWidth="1"/>
    <col min="2" max="2" width="17.85546875" style="2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x14ac:dyDescent="0.25">
      <c r="A1" s="17"/>
      <c r="B1" s="18"/>
      <c r="C1" s="17"/>
      <c r="D1" s="19"/>
      <c r="E1" s="20"/>
      <c r="F1" s="18"/>
      <c r="G1" s="20"/>
      <c r="H1" s="2"/>
      <c r="I1" s="3"/>
      <c r="J1" s="2"/>
      <c r="K1" s="11"/>
      <c r="L1" s="2"/>
      <c r="M1" s="3"/>
      <c r="N1" s="2"/>
      <c r="O1" s="3"/>
    </row>
    <row r="2" spans="1:15" x14ac:dyDescent="0.25">
      <c r="A2" s="17"/>
      <c r="B2" s="18"/>
      <c r="C2" s="17"/>
      <c r="D2" s="19"/>
      <c r="E2" s="21"/>
      <c r="F2" s="18"/>
      <c r="G2" s="21"/>
      <c r="H2" s="4"/>
      <c r="I2" s="3"/>
      <c r="J2" s="4"/>
      <c r="K2" s="11"/>
      <c r="L2" s="4"/>
      <c r="M2" s="11"/>
      <c r="N2" s="4"/>
      <c r="O2" s="11"/>
    </row>
    <row r="3" spans="1:15" x14ac:dyDescent="0.25">
      <c r="A3" s="17"/>
      <c r="B3" s="18"/>
      <c r="C3" s="17"/>
      <c r="D3" s="19"/>
      <c r="E3" s="21"/>
      <c r="F3" s="18"/>
      <c r="G3" s="21"/>
      <c r="H3" s="4"/>
      <c r="I3" s="3"/>
      <c r="J3" s="4"/>
      <c r="K3" s="11"/>
      <c r="L3" s="4"/>
      <c r="M3" s="11"/>
      <c r="N3" s="4"/>
      <c r="O3" s="11"/>
    </row>
    <row r="4" spans="1:15" x14ac:dyDescent="0.25">
      <c r="A4" s="17"/>
      <c r="B4" s="18"/>
      <c r="C4" s="17"/>
      <c r="D4" s="19"/>
      <c r="E4" s="21"/>
      <c r="F4" s="18"/>
      <c r="G4" s="21"/>
      <c r="H4" s="4"/>
      <c r="I4" s="3"/>
      <c r="J4" s="4"/>
      <c r="K4" s="11"/>
      <c r="L4" s="4"/>
      <c r="M4" s="11"/>
      <c r="N4" s="4"/>
      <c r="O4" s="11"/>
    </row>
    <row r="5" spans="1:15" x14ac:dyDescent="0.25">
      <c r="A5" s="17"/>
      <c r="B5" s="18"/>
      <c r="C5" s="17"/>
      <c r="D5" s="19"/>
      <c r="E5" s="21"/>
      <c r="F5" s="18"/>
      <c r="G5" s="21"/>
      <c r="H5" s="4"/>
      <c r="I5" s="3"/>
      <c r="J5" s="4"/>
      <c r="K5" s="11"/>
      <c r="L5" s="4"/>
      <c r="M5" s="11"/>
      <c r="N5" s="4"/>
      <c r="O5" s="11"/>
    </row>
    <row r="6" spans="1:15" x14ac:dyDescent="0.25">
      <c r="A6" s="17"/>
      <c r="B6" s="18"/>
      <c r="C6" s="17"/>
      <c r="D6" s="19"/>
      <c r="E6" s="21"/>
      <c r="F6" s="18"/>
      <c r="G6" s="21"/>
      <c r="H6" s="4"/>
      <c r="I6" s="3"/>
      <c r="J6" s="4"/>
      <c r="K6" s="11"/>
      <c r="L6" s="4"/>
      <c r="M6" s="11"/>
      <c r="N6" s="4"/>
      <c r="O6" s="11"/>
    </row>
    <row r="7" spans="1:15" x14ac:dyDescent="0.25">
      <c r="A7" s="17"/>
      <c r="B7" s="18"/>
      <c r="C7" s="17"/>
      <c r="D7" s="19"/>
      <c r="E7" s="21"/>
      <c r="F7" s="18"/>
      <c r="G7" s="21"/>
      <c r="H7" s="4"/>
      <c r="I7" s="3"/>
      <c r="J7" s="4"/>
      <c r="K7" s="11"/>
      <c r="L7" s="4"/>
      <c r="M7" s="11"/>
      <c r="N7" s="4"/>
      <c r="O7" s="11"/>
    </row>
    <row r="8" spans="1:15" ht="19.5" customHeight="1" x14ac:dyDescent="0.25">
      <c r="A8" s="285" t="s">
        <v>0</v>
      </c>
      <c r="B8" s="285"/>
      <c r="C8" s="285"/>
      <c r="D8" s="285"/>
      <c r="E8" s="285"/>
      <c r="F8" s="285"/>
      <c r="G8" s="285"/>
      <c r="H8" s="4"/>
      <c r="I8" s="3"/>
      <c r="J8" s="4"/>
      <c r="K8" s="11"/>
      <c r="L8" s="4"/>
      <c r="M8" s="11"/>
      <c r="N8" s="4"/>
      <c r="O8" s="11"/>
    </row>
    <row r="9" spans="1:15" ht="19.5" customHeight="1" x14ac:dyDescent="0.25">
      <c r="B9" s="22"/>
      <c r="D9" s="22"/>
      <c r="F9" s="22"/>
      <c r="G9" s="22"/>
      <c r="H9" s="4"/>
      <c r="I9" s="3"/>
      <c r="J9" s="4"/>
      <c r="K9" s="11"/>
      <c r="L9" s="4"/>
      <c r="M9" s="11"/>
      <c r="N9" s="4"/>
      <c r="O9" s="11"/>
    </row>
    <row r="10" spans="1:15" ht="16.5" customHeight="1" x14ac:dyDescent="0.3">
      <c r="A10" s="286" t="s">
        <v>1</v>
      </c>
      <c r="B10" s="286"/>
      <c r="C10" s="286"/>
      <c r="D10" s="286"/>
      <c r="E10" s="286"/>
      <c r="F10" s="286"/>
      <c r="G10" s="286"/>
      <c r="H10" s="4"/>
      <c r="I10" s="3"/>
      <c r="J10" s="4"/>
      <c r="K10" s="11"/>
      <c r="L10" s="4"/>
      <c r="M10" s="11"/>
      <c r="N10" s="4"/>
      <c r="O10" s="11"/>
    </row>
    <row r="11" spans="1:15" ht="15" customHeight="1" x14ac:dyDescent="0.3">
      <c r="A11" s="279" t="s">
        <v>2</v>
      </c>
      <c r="B11" s="279"/>
      <c r="C11" s="23" t="s">
        <v>3</v>
      </c>
      <c r="E11" s="4"/>
      <c r="F11" s="3"/>
      <c r="G11" s="4"/>
      <c r="H11" s="4"/>
      <c r="I11" s="3"/>
      <c r="J11" s="4"/>
      <c r="K11" s="11"/>
      <c r="L11" s="4"/>
      <c r="M11" s="11"/>
      <c r="N11" s="4"/>
      <c r="O11" s="11"/>
    </row>
    <row r="12" spans="1:15" ht="15" customHeight="1" x14ac:dyDescent="0.3">
      <c r="A12" s="279" t="s">
        <v>4</v>
      </c>
      <c r="B12" s="279"/>
      <c r="C12" s="23" t="s">
        <v>5</v>
      </c>
      <c r="E12" s="4"/>
      <c r="F12" s="3"/>
      <c r="G12" s="4"/>
      <c r="H12" s="4"/>
      <c r="I12" s="3"/>
      <c r="J12" s="4"/>
      <c r="K12" s="11"/>
      <c r="L12" s="4"/>
      <c r="M12" s="11"/>
      <c r="N12" s="4"/>
      <c r="O12" s="11"/>
    </row>
    <row r="13" spans="1:15" ht="15" customHeight="1" x14ac:dyDescent="0.3">
      <c r="A13" s="279" t="s">
        <v>6</v>
      </c>
      <c r="B13" s="279"/>
      <c r="C13" s="23" t="s">
        <v>7</v>
      </c>
      <c r="E13" s="4"/>
      <c r="F13" s="3"/>
      <c r="G13" s="4"/>
      <c r="H13" s="4"/>
      <c r="I13" s="3"/>
      <c r="J13" s="4"/>
      <c r="K13" s="11"/>
      <c r="L13" s="4"/>
      <c r="M13" s="11"/>
      <c r="N13" s="4"/>
      <c r="O13" s="11"/>
    </row>
    <row r="14" spans="1:15" ht="15" customHeight="1" x14ac:dyDescent="0.3">
      <c r="A14" s="279" t="s">
        <v>8</v>
      </c>
      <c r="B14" s="279"/>
      <c r="C14" s="284"/>
      <c r="D14" s="284"/>
      <c r="E14" s="284"/>
      <c r="F14" s="284"/>
      <c r="G14" s="284"/>
      <c r="H14" s="4"/>
      <c r="I14" s="3"/>
      <c r="J14" s="4"/>
      <c r="K14" s="11"/>
      <c r="L14" s="4"/>
      <c r="M14" s="11"/>
      <c r="N14" s="4"/>
      <c r="O14" s="11"/>
    </row>
    <row r="15" spans="1:15" ht="15" customHeight="1" x14ac:dyDescent="0.3">
      <c r="A15" s="279" t="s">
        <v>9</v>
      </c>
      <c r="B15" s="279"/>
      <c r="C15" s="24"/>
      <c r="E15" s="4"/>
      <c r="F15" s="3"/>
      <c r="G15" s="4"/>
      <c r="H15" s="4"/>
      <c r="I15" s="3"/>
      <c r="J15" s="4"/>
      <c r="K15" s="11"/>
      <c r="L15" s="4"/>
      <c r="M15" s="11"/>
      <c r="N15" s="4"/>
      <c r="O15" s="11"/>
    </row>
    <row r="16" spans="1:15" ht="15" customHeight="1" x14ac:dyDescent="0.3">
      <c r="A16" s="279" t="s">
        <v>10</v>
      </c>
      <c r="B16" s="279"/>
      <c r="C16" s="24"/>
      <c r="E16" s="4"/>
      <c r="F16" s="3"/>
      <c r="G16" s="4"/>
      <c r="H16" s="4"/>
      <c r="I16" s="3"/>
      <c r="J16" s="4"/>
      <c r="K16" s="11"/>
      <c r="L16" s="4"/>
      <c r="M16" s="11"/>
      <c r="N16" s="4"/>
      <c r="O16" s="11"/>
    </row>
    <row r="17" spans="1:15" x14ac:dyDescent="0.25">
      <c r="B17" s="23"/>
      <c r="E17" s="4"/>
      <c r="F17" s="3"/>
      <c r="G17" s="4"/>
      <c r="H17" s="4"/>
      <c r="I17" s="3"/>
      <c r="J17" s="4"/>
      <c r="K17" s="11"/>
      <c r="L17" s="4"/>
      <c r="M17" s="11"/>
      <c r="N17" s="4"/>
      <c r="O17" s="11"/>
    </row>
    <row r="18" spans="1:15" ht="15" customHeight="1" x14ac:dyDescent="0.3">
      <c r="A18" s="280" t="s">
        <v>11</v>
      </c>
      <c r="B18" s="280"/>
      <c r="C18" s="25" t="s">
        <v>12</v>
      </c>
      <c r="E18" s="4"/>
      <c r="F18" s="3"/>
      <c r="G18" s="4"/>
      <c r="H18" s="4"/>
      <c r="I18" s="3"/>
      <c r="J18" s="4"/>
      <c r="K18" s="11"/>
      <c r="L18" s="4"/>
      <c r="M18" s="11"/>
      <c r="N18" s="4"/>
      <c r="O18" s="11"/>
    </row>
    <row r="19" spans="1:15" ht="15.75" customHeight="1" x14ac:dyDescent="0.3">
      <c r="A19" s="26"/>
      <c r="B19" s="23"/>
      <c r="E19" s="4"/>
      <c r="F19" s="3"/>
      <c r="G19" s="4"/>
      <c r="H19" s="4"/>
      <c r="I19" s="3"/>
      <c r="J19" s="4"/>
      <c r="K19" s="11"/>
      <c r="L19" s="4"/>
      <c r="M19" s="11"/>
      <c r="N19" s="4"/>
      <c r="O19" s="11"/>
    </row>
    <row r="20" spans="1:15" ht="15.75" customHeight="1" x14ac:dyDescent="0.3">
      <c r="A20" s="27" t="s">
        <v>13</v>
      </c>
      <c r="B20" s="28" t="s">
        <v>14</v>
      </c>
      <c r="C20" s="29" t="s">
        <v>15</v>
      </c>
      <c r="D20" s="27" t="s">
        <v>16</v>
      </c>
      <c r="E20" s="30" t="s">
        <v>17</v>
      </c>
      <c r="G20" s="4"/>
      <c r="H20" s="12"/>
      <c r="I20" s="3"/>
      <c r="J20" s="4"/>
      <c r="K20" s="11"/>
      <c r="L20" s="12"/>
      <c r="M20" s="11"/>
      <c r="N20" s="12"/>
      <c r="O20" s="11"/>
    </row>
    <row r="21" spans="1:15" x14ac:dyDescent="0.25">
      <c r="A21" s="31">
        <v>1</v>
      </c>
      <c r="B21" s="32">
        <v>21.76464</v>
      </c>
      <c r="C21" s="33">
        <v>2.3209499999999998</v>
      </c>
      <c r="D21" s="34">
        <f t="shared" ref="D21:D40" si="0">B21-C21</f>
        <v>19.44369</v>
      </c>
      <c r="E21" s="35">
        <f t="shared" ref="E21:E40" si="1">(D21-$D$43)/$D$43</f>
        <v>-3.4005064251064532E-2</v>
      </c>
      <c r="G21" s="4"/>
      <c r="H21" s="12"/>
      <c r="I21" s="3"/>
      <c r="J21" s="4"/>
      <c r="K21" s="11"/>
      <c r="L21" s="12"/>
      <c r="M21" s="11"/>
      <c r="N21" s="12"/>
      <c r="O21" s="11"/>
    </row>
    <row r="22" spans="1:15" x14ac:dyDescent="0.25">
      <c r="A22" s="36">
        <v>2</v>
      </c>
      <c r="B22" s="37">
        <v>22.612130000000001</v>
      </c>
      <c r="C22" s="38">
        <v>2.2165499999999998</v>
      </c>
      <c r="D22" s="39">
        <f t="shared" si="0"/>
        <v>20.395580000000002</v>
      </c>
      <c r="E22" s="35">
        <f t="shared" si="1"/>
        <v>1.3286417941361719E-2</v>
      </c>
      <c r="G22" s="4"/>
      <c r="H22" s="12"/>
      <c r="I22" s="3"/>
      <c r="J22" s="4"/>
      <c r="K22" s="11"/>
      <c r="L22" s="12"/>
      <c r="M22" s="11"/>
      <c r="N22" s="12"/>
      <c r="O22" s="11"/>
    </row>
    <row r="23" spans="1:15" x14ac:dyDescent="0.25">
      <c r="A23" s="36">
        <v>3</v>
      </c>
      <c r="B23" s="37">
        <v>22.30424</v>
      </c>
      <c r="C23" s="38">
        <v>2.30017</v>
      </c>
      <c r="D23" s="39">
        <f t="shared" si="0"/>
        <v>20.004069999999999</v>
      </c>
      <c r="E23" s="35">
        <f t="shared" si="1"/>
        <v>-6.1644515846937453E-3</v>
      </c>
      <c r="G23" s="4"/>
      <c r="H23" s="12"/>
      <c r="I23" s="3"/>
      <c r="J23" s="4"/>
      <c r="K23" s="11"/>
      <c r="L23" s="12"/>
      <c r="M23" s="11"/>
      <c r="N23" s="12"/>
      <c r="O23" s="11"/>
    </row>
    <row r="24" spans="1:15" x14ac:dyDescent="0.25">
      <c r="A24" s="36">
        <v>4</v>
      </c>
      <c r="B24" s="37">
        <v>22.775980000000001</v>
      </c>
      <c r="C24" s="38">
        <v>2.1796199999999999</v>
      </c>
      <c r="D24" s="39">
        <f t="shared" si="0"/>
        <v>20.596360000000001</v>
      </c>
      <c r="E24" s="35">
        <f t="shared" si="1"/>
        <v>2.3261503082076754E-2</v>
      </c>
      <c r="G24" s="4"/>
      <c r="H24" s="12"/>
      <c r="I24" s="3"/>
      <c r="J24" s="4"/>
      <c r="K24" s="11"/>
      <c r="L24" s="12"/>
      <c r="M24" s="11"/>
      <c r="N24" s="12"/>
      <c r="O24" s="11"/>
    </row>
    <row r="25" spans="1:15" x14ac:dyDescent="0.25">
      <c r="A25" s="36">
        <v>5</v>
      </c>
      <c r="B25" s="37">
        <v>22.760549999999999</v>
      </c>
      <c r="C25" s="38">
        <v>2.23943</v>
      </c>
      <c r="D25" s="39">
        <f t="shared" si="0"/>
        <v>20.52112</v>
      </c>
      <c r="E25" s="35">
        <f t="shared" si="1"/>
        <v>1.9523454441836618E-2</v>
      </c>
      <c r="G25" s="4"/>
      <c r="H25" s="12"/>
      <c r="I25" s="3"/>
      <c r="J25" s="4"/>
      <c r="K25" s="11"/>
      <c r="L25" s="12"/>
      <c r="M25" s="11"/>
      <c r="N25" s="12"/>
      <c r="O25" s="11"/>
    </row>
    <row r="26" spans="1:15" x14ac:dyDescent="0.25">
      <c r="A26" s="36">
        <v>6</v>
      </c>
      <c r="B26" s="37">
        <v>22.449339999999999</v>
      </c>
      <c r="C26" s="38">
        <v>2.2630699999999999</v>
      </c>
      <c r="D26" s="39">
        <f t="shared" si="0"/>
        <v>20.18627</v>
      </c>
      <c r="E26" s="35">
        <f t="shared" si="1"/>
        <v>2.8875481794177829E-3</v>
      </c>
      <c r="G26" s="4"/>
      <c r="H26" s="12"/>
      <c r="I26" s="3"/>
      <c r="J26" s="4"/>
      <c r="K26" s="11"/>
      <c r="L26" s="12"/>
      <c r="M26" s="11"/>
      <c r="N26" s="12"/>
      <c r="O26" s="11"/>
    </row>
    <row r="27" spans="1:15" x14ac:dyDescent="0.25">
      <c r="A27" s="36">
        <v>7</v>
      </c>
      <c r="B27" s="37">
        <v>21.686869999999999</v>
      </c>
      <c r="C27" s="38">
        <v>2.0646300000000002</v>
      </c>
      <c r="D27" s="39">
        <f t="shared" si="0"/>
        <v>19.622239999999998</v>
      </c>
      <c r="E27" s="35">
        <f t="shared" si="1"/>
        <v>-2.5134402572238639E-2</v>
      </c>
      <c r="G27" s="4"/>
      <c r="H27" s="12"/>
      <c r="I27" s="3"/>
      <c r="J27" s="4"/>
      <c r="K27" s="11"/>
      <c r="L27" s="12"/>
      <c r="M27" s="11"/>
      <c r="N27" s="12"/>
      <c r="O27" s="11"/>
    </row>
    <row r="28" spans="1:15" x14ac:dyDescent="0.25">
      <c r="A28" s="36">
        <v>8</v>
      </c>
      <c r="B28" s="37">
        <v>22.313649999999999</v>
      </c>
      <c r="C28" s="38">
        <v>2.1835599999999999</v>
      </c>
      <c r="D28" s="39">
        <f t="shared" si="0"/>
        <v>20.130089999999999</v>
      </c>
      <c r="E28" s="35">
        <f t="shared" si="1"/>
        <v>9.643211603802408E-5</v>
      </c>
      <c r="G28" s="4"/>
      <c r="H28" s="12"/>
      <c r="I28" s="3"/>
      <c r="J28" s="4"/>
      <c r="K28" s="11"/>
      <c r="L28" s="12"/>
      <c r="M28" s="11"/>
      <c r="N28" s="12"/>
      <c r="O28" s="11"/>
    </row>
    <row r="29" spans="1:15" x14ac:dyDescent="0.25">
      <c r="A29" s="36">
        <v>9</v>
      </c>
      <c r="B29" s="37">
        <v>22.42454</v>
      </c>
      <c r="C29" s="38">
        <v>2.2635800000000001</v>
      </c>
      <c r="D29" s="39">
        <f t="shared" si="0"/>
        <v>20.160959999999999</v>
      </c>
      <c r="E29" s="35">
        <f t="shared" si="1"/>
        <v>1.6301051825480233E-3</v>
      </c>
      <c r="G29" s="4"/>
      <c r="H29" s="12"/>
      <c r="I29" s="3"/>
      <c r="J29" s="4"/>
      <c r="K29" s="11"/>
      <c r="L29" s="12"/>
      <c r="M29" s="11"/>
      <c r="N29" s="12"/>
      <c r="O29" s="11"/>
    </row>
    <row r="30" spans="1:15" x14ac:dyDescent="0.25">
      <c r="A30" s="36">
        <v>10</v>
      </c>
      <c r="B30" s="40">
        <v>22.340949999999999</v>
      </c>
      <c r="C30" s="38">
        <v>2.1198399999999999</v>
      </c>
      <c r="D30" s="39">
        <f t="shared" si="0"/>
        <v>20.221109999999999</v>
      </c>
      <c r="E30" s="35">
        <f t="shared" si="1"/>
        <v>4.6184574647176431E-3</v>
      </c>
      <c r="G30" s="4"/>
      <c r="H30" s="12"/>
      <c r="I30" s="3"/>
      <c r="J30" s="4"/>
      <c r="K30" s="11"/>
      <c r="L30" s="12"/>
      <c r="M30" s="11"/>
      <c r="N30" s="12"/>
      <c r="O30" s="11"/>
    </row>
    <row r="31" spans="1:15" x14ac:dyDescent="0.25">
      <c r="A31" s="36">
        <v>11</v>
      </c>
      <c r="B31" s="40"/>
      <c r="C31" s="38"/>
      <c r="D31" s="39"/>
      <c r="E31" s="35"/>
      <c r="G31" s="5"/>
      <c r="H31" s="5"/>
      <c r="I31" s="5"/>
      <c r="J31" s="5"/>
      <c r="K31" s="11"/>
      <c r="L31" s="5"/>
      <c r="M31" s="6"/>
      <c r="N31" s="5"/>
      <c r="O31" s="6"/>
    </row>
    <row r="32" spans="1:15" x14ac:dyDescent="0.25">
      <c r="A32" s="36">
        <v>12</v>
      </c>
      <c r="B32" s="40"/>
      <c r="C32" s="38"/>
      <c r="D32" s="39"/>
      <c r="E32" s="35"/>
      <c r="G32" s="5"/>
      <c r="H32" s="5"/>
      <c r="I32" s="5"/>
      <c r="J32" s="5"/>
      <c r="K32" s="11"/>
      <c r="L32" s="5"/>
      <c r="M32" s="5"/>
      <c r="N32" s="5"/>
      <c r="O32" s="5"/>
    </row>
    <row r="33" spans="1:15" x14ac:dyDescent="0.25">
      <c r="A33" s="36">
        <v>13</v>
      </c>
      <c r="B33" s="40"/>
      <c r="C33" s="38"/>
      <c r="D33" s="39"/>
      <c r="E33" s="35"/>
      <c r="G33" s="7"/>
      <c r="H33" s="7"/>
      <c r="I33" s="7"/>
      <c r="J33" s="7"/>
      <c r="K33" s="13"/>
      <c r="L33" s="7"/>
      <c r="M33" s="7"/>
      <c r="N33" s="8"/>
      <c r="O33" s="7"/>
    </row>
    <row r="34" spans="1:15" x14ac:dyDescent="0.25">
      <c r="A34" s="36">
        <v>14</v>
      </c>
      <c r="B34" s="40"/>
      <c r="C34" s="38"/>
      <c r="D34" s="39"/>
      <c r="E34" s="35"/>
      <c r="G34" s="9"/>
      <c r="H34" s="14"/>
      <c r="I34" s="14"/>
      <c r="J34" s="9"/>
      <c r="K34" s="15"/>
      <c r="L34" s="10"/>
      <c r="M34" s="14"/>
      <c r="N34" s="10"/>
      <c r="O34" s="14"/>
    </row>
    <row r="35" spans="1:15" x14ac:dyDescent="0.25">
      <c r="A35" s="36">
        <v>15</v>
      </c>
      <c r="B35" s="40"/>
      <c r="C35" s="38"/>
      <c r="D35" s="39"/>
      <c r="E35" s="35"/>
      <c r="G35" s="9"/>
      <c r="J35" s="9"/>
      <c r="K35" s="15"/>
      <c r="L35" s="10"/>
      <c r="N35" s="10"/>
    </row>
    <row r="36" spans="1:15" x14ac:dyDescent="0.25">
      <c r="A36" s="36">
        <v>16</v>
      </c>
      <c r="B36" s="40"/>
      <c r="C36" s="38"/>
      <c r="D36" s="39"/>
      <c r="E36" s="35"/>
      <c r="G36" s="16"/>
      <c r="H36" s="16"/>
    </row>
    <row r="37" spans="1:15" x14ac:dyDescent="0.25">
      <c r="A37" s="36">
        <v>17</v>
      </c>
      <c r="B37" s="40"/>
      <c r="C37" s="38"/>
      <c r="D37" s="39"/>
      <c r="E37" s="35"/>
    </row>
    <row r="38" spans="1:15" x14ac:dyDescent="0.25">
      <c r="A38" s="36">
        <v>18</v>
      </c>
      <c r="B38" s="40"/>
      <c r="C38" s="38"/>
      <c r="D38" s="39"/>
      <c r="E38" s="35"/>
    </row>
    <row r="39" spans="1:15" x14ac:dyDescent="0.25">
      <c r="A39" s="36">
        <v>19</v>
      </c>
      <c r="B39" s="40"/>
      <c r="C39" s="38"/>
      <c r="D39" s="39"/>
      <c r="E39" s="35"/>
    </row>
    <row r="40" spans="1:15" ht="14.25" customHeight="1" x14ac:dyDescent="0.25">
      <c r="A40" s="41">
        <v>20</v>
      </c>
      <c r="B40" s="42"/>
      <c r="C40" s="43"/>
      <c r="D40" s="44"/>
      <c r="E40" s="45"/>
    </row>
    <row r="41" spans="1:15" ht="14.25" customHeight="1" x14ac:dyDescent="0.25">
      <c r="B41" s="23"/>
      <c r="D41" s="11"/>
      <c r="G41" s="4"/>
    </row>
    <row r="42" spans="1:15" x14ac:dyDescent="0.25">
      <c r="A42" s="46" t="s">
        <v>18</v>
      </c>
      <c r="B42" s="47">
        <f>SUM(B21:B40)</f>
        <v>223.43288999999999</v>
      </c>
      <c r="C42" s="48">
        <f>SUM(C21:C40)</f>
        <v>22.151400000000002</v>
      </c>
      <c r="D42" s="49">
        <f>SUM(D21:D30)</f>
        <v>201.28148999999999</v>
      </c>
    </row>
    <row r="43" spans="1:15" ht="15.75" customHeight="1" x14ac:dyDescent="0.3">
      <c r="A43" s="50" t="s">
        <v>19</v>
      </c>
      <c r="B43" s="51">
        <f>AVERAGE(B21:B40)</f>
        <v>22.343288999999999</v>
      </c>
      <c r="C43" s="52">
        <f>AVERAGE(C21:C40)</f>
        <v>2.2151400000000003</v>
      </c>
      <c r="D43" s="53">
        <f>AVERAGE(D21:D30)</f>
        <v>20.128149000000001</v>
      </c>
    </row>
    <row r="44" spans="1:15" x14ac:dyDescent="0.25">
      <c r="A44" s="17"/>
      <c r="B44" s="54"/>
      <c r="C44" s="54"/>
    </row>
    <row r="45" spans="1:15" ht="14.25" customHeight="1" x14ac:dyDescent="0.25">
      <c r="A45" s="17"/>
      <c r="B45" s="17"/>
      <c r="C45" s="17"/>
    </row>
    <row r="46" spans="1:15" ht="30.75" customHeight="1" x14ac:dyDescent="0.3">
      <c r="B46" s="55" t="s">
        <v>19</v>
      </c>
      <c r="C46" s="56" t="s">
        <v>20</v>
      </c>
    </row>
    <row r="47" spans="1:15" ht="15.75" customHeight="1" x14ac:dyDescent="0.3">
      <c r="B47" s="281">
        <f>D43</f>
        <v>20.128149000000001</v>
      </c>
      <c r="C47" s="57">
        <f>-(IF(D43&gt;300, 7.5%, 10%))</f>
        <v>-0.1</v>
      </c>
      <c r="D47" s="58">
        <f>IF(D43&lt;300, D43*0.9, D43*0.925)</f>
        <v>18.115334100000002</v>
      </c>
    </row>
    <row r="48" spans="1:15" ht="15.75" customHeight="1" x14ac:dyDescent="0.3">
      <c r="B48" s="282"/>
      <c r="C48" s="59">
        <f>+(IF(D43&gt;300, 7.5%, 10%))</f>
        <v>0.1</v>
      </c>
      <c r="D48" s="58">
        <f>IF(D43&lt;300, D43*1.1, D43*1.075)</f>
        <v>22.140963900000003</v>
      </c>
    </row>
    <row r="49" spans="1:7" ht="14.25" customHeight="1" x14ac:dyDescent="0.25">
      <c r="A49" s="60"/>
      <c r="D49" s="61"/>
    </row>
    <row r="50" spans="1:7" ht="15" customHeight="1" x14ac:dyDescent="0.3">
      <c r="B50" s="283" t="s">
        <v>21</v>
      </c>
      <c r="C50" s="283"/>
      <c r="E50" s="62" t="s">
        <v>22</v>
      </c>
      <c r="F50" s="63"/>
      <c r="G50" s="62" t="s">
        <v>23</v>
      </c>
    </row>
    <row r="51" spans="1:7" ht="15" customHeight="1" x14ac:dyDescent="0.3">
      <c r="A51" s="64" t="s">
        <v>24</v>
      </c>
      <c r="B51" s="65"/>
      <c r="C51" s="65"/>
      <c r="E51" s="65"/>
      <c r="F51" s="17"/>
      <c r="G51" s="66"/>
    </row>
    <row r="52" spans="1:7" ht="15" customHeight="1" x14ac:dyDescent="0.3">
      <c r="A52" s="64" t="s">
        <v>25</v>
      </c>
      <c r="B52" s="67"/>
      <c r="C52" s="67"/>
      <c r="E52" s="67"/>
      <c r="F52" s="17"/>
      <c r="G52" s="68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35" priority="1" operator="notBetween">
      <formula>IF(+$D$43&lt;300, -10.5%, -7.5%)</formula>
      <formula>IF(+$D$43&lt;300, 10.5%, 7.5%)</formula>
    </cfRule>
  </conditionalFormatting>
  <conditionalFormatting sqref="E22">
    <cfRule type="cellIs" dxfId="34" priority="2" operator="notBetween">
      <formula>IF(+$D$43&lt;300, -10.5%, -7.5%)</formula>
      <formula>IF(+$D$43&lt;300, 10.5%, 7.5%)</formula>
    </cfRule>
  </conditionalFormatting>
  <conditionalFormatting sqref="E23">
    <cfRule type="cellIs" dxfId="33" priority="3" operator="notBetween">
      <formula>IF(+$D$43&lt;300, -10.5%, -7.5%)</formula>
      <formula>IF(+$D$43&lt;300, 10.5%, 7.5%)</formula>
    </cfRule>
  </conditionalFormatting>
  <conditionalFormatting sqref="E24">
    <cfRule type="cellIs" dxfId="32" priority="4" operator="notBetween">
      <formula>IF(+$D$43&lt;300, -10.5%, -7.5%)</formula>
      <formula>IF(+$D$43&lt;300, 10.5%, 7.5%)</formula>
    </cfRule>
  </conditionalFormatting>
  <conditionalFormatting sqref="E25">
    <cfRule type="cellIs" dxfId="31" priority="5" operator="notBetween">
      <formula>IF(+$D$43&lt;300, -10.5%, -7.5%)</formula>
      <formula>IF(+$D$43&lt;300, 10.5%, 7.5%)</formula>
    </cfRule>
  </conditionalFormatting>
  <conditionalFormatting sqref="E26">
    <cfRule type="cellIs" dxfId="30" priority="6" operator="notBetween">
      <formula>IF(+$D$43&lt;300, -10.5%, -7.5%)</formula>
      <formula>IF(+$D$43&lt;300, 10.5%, 7.5%)</formula>
    </cfRule>
  </conditionalFormatting>
  <conditionalFormatting sqref="E27">
    <cfRule type="cellIs" dxfId="29" priority="7" operator="notBetween">
      <formula>IF(+$D$43&lt;300, -10.5%, -7.5%)</formula>
      <formula>IF(+$D$43&lt;300, 10.5%, 7.5%)</formula>
    </cfRule>
  </conditionalFormatting>
  <conditionalFormatting sqref="E28">
    <cfRule type="cellIs" dxfId="28" priority="8" operator="notBetween">
      <formula>IF(+$D$43&lt;300, -10.5%, -7.5%)</formula>
      <formula>IF(+$D$43&lt;300, 10.5%, 7.5%)</formula>
    </cfRule>
  </conditionalFormatting>
  <conditionalFormatting sqref="E29">
    <cfRule type="cellIs" dxfId="27" priority="9" operator="notBetween">
      <formula>IF(+$D$43&lt;300, -10.5%, -7.5%)</formula>
      <formula>IF(+$D$43&lt;300, 10.5%, 7.5%)</formula>
    </cfRule>
  </conditionalFormatting>
  <conditionalFormatting sqref="E30">
    <cfRule type="cellIs" dxfId="26" priority="10" operator="notBetween">
      <formula>IF(+$D$43&lt;300, -10.5%, -7.5%)</formula>
      <formula>IF(+$D$43&lt;300, 10.5%, 7.5%)</formula>
    </cfRule>
  </conditionalFormatting>
  <conditionalFormatting sqref="E31">
    <cfRule type="cellIs" dxfId="25" priority="11" operator="notBetween">
      <formula>IF(+$D$43&lt;300, -10.5%, -7.5%)</formula>
      <formula>IF(+$D$43&lt;300, 10.5%, 7.5%)</formula>
    </cfRule>
  </conditionalFormatting>
  <conditionalFormatting sqref="E32">
    <cfRule type="cellIs" dxfId="24" priority="12" operator="notBetween">
      <formula>IF(+$D$43&lt;300, -10.5%, -7.5%)</formula>
      <formula>IF(+$D$43&lt;300, 10.5%, 7.5%)</formula>
    </cfRule>
  </conditionalFormatting>
  <conditionalFormatting sqref="E33">
    <cfRule type="cellIs" dxfId="23" priority="13" operator="notBetween">
      <formula>IF(+$D$43&lt;300, -10.5%, -7.5%)</formula>
      <formula>IF(+$D$43&lt;300, 10.5%, 7.5%)</formula>
    </cfRule>
  </conditionalFormatting>
  <conditionalFormatting sqref="E34">
    <cfRule type="cellIs" dxfId="22" priority="14" operator="notBetween">
      <formula>IF(+$D$43&lt;300, -10.5%, -7.5%)</formula>
      <formula>IF(+$D$43&lt;300, 10.5%, 7.5%)</formula>
    </cfRule>
  </conditionalFormatting>
  <conditionalFormatting sqref="E35">
    <cfRule type="cellIs" dxfId="21" priority="15" operator="notBetween">
      <formula>IF(+$D$43&lt;300, -10.5%, -7.5%)</formula>
      <formula>IF(+$D$43&lt;300, 10.5%, 7.5%)</formula>
    </cfRule>
  </conditionalFormatting>
  <conditionalFormatting sqref="E36">
    <cfRule type="cellIs" dxfId="20" priority="16" operator="notBetween">
      <formula>IF(+$D$43&lt;300, -10.5%, -7.5%)</formula>
      <formula>IF(+$D$43&lt;300, 10.5%, 7.5%)</formula>
    </cfRule>
  </conditionalFormatting>
  <conditionalFormatting sqref="E37">
    <cfRule type="cellIs" dxfId="19" priority="17" operator="notBetween">
      <formula>IF(+$D$43&lt;300, -10.5%, -7.5%)</formula>
      <formula>IF(+$D$43&lt;300, 10.5%, 7.5%)</formula>
    </cfRule>
  </conditionalFormatting>
  <conditionalFormatting sqref="E38">
    <cfRule type="cellIs" dxfId="18" priority="18" operator="notBetween">
      <formula>IF(+$D$43&lt;300, -10.5%, -7.5%)</formula>
      <formula>IF(+$D$43&lt;300, 10.5%, 7.5%)</formula>
    </cfRule>
  </conditionalFormatting>
  <conditionalFormatting sqref="E39">
    <cfRule type="cellIs" dxfId="17" priority="19" operator="notBetween">
      <formula>IF(+$D$43&lt;300, -10.5%, -7.5%)</formula>
      <formula>IF(+$D$43&lt;300, 10.5%, 7.5%)</formula>
    </cfRule>
  </conditionalFormatting>
  <conditionalFormatting sqref="E40">
    <cfRule type="cellIs" dxfId="16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0"/>
  <sheetViews>
    <sheetView view="pageBreakPreview" topLeftCell="A23" zoomScale="55" zoomScaleNormal="55" workbookViewId="0">
      <selection activeCell="D40" sqref="D40:D43"/>
    </sheetView>
  </sheetViews>
  <sheetFormatPr defaultRowHeight="13.5" x14ac:dyDescent="0.25"/>
  <cols>
    <col min="1" max="1" width="58.5703125" style="2" customWidth="1"/>
    <col min="2" max="2" width="34.28515625" style="2" customWidth="1"/>
    <col min="3" max="3" width="43.140625" style="2" customWidth="1"/>
    <col min="4" max="4" width="23.140625" style="2" customWidth="1"/>
    <col min="5" max="5" width="34.85546875" style="2" customWidth="1"/>
    <col min="6" max="6" width="21.5703125" style="2" customWidth="1"/>
    <col min="7" max="8" width="23.85546875" style="2" customWidth="1"/>
    <col min="9" max="9" width="23" style="2" customWidth="1"/>
    <col min="10" max="10" width="9" style="2" customWidth="1"/>
  </cols>
  <sheetData>
    <row r="1" spans="1:9" ht="14.25" customHeight="1" x14ac:dyDescent="0.25">
      <c r="A1" s="288" t="s">
        <v>66</v>
      </c>
      <c r="B1" s="288"/>
      <c r="C1" s="288"/>
      <c r="D1" s="288"/>
      <c r="E1" s="288"/>
      <c r="F1" s="288"/>
      <c r="G1" s="288"/>
      <c r="H1" s="288"/>
      <c r="I1" s="288"/>
    </row>
    <row r="2" spans="1:9" ht="14.25" customHeight="1" x14ac:dyDescent="0.25">
      <c r="A2" s="288"/>
      <c r="B2" s="288"/>
      <c r="C2" s="288"/>
      <c r="D2" s="288"/>
      <c r="E2" s="288"/>
      <c r="F2" s="288"/>
      <c r="G2" s="288"/>
      <c r="H2" s="288"/>
      <c r="I2" s="288"/>
    </row>
    <row r="3" spans="1:9" ht="14.25" customHeight="1" x14ac:dyDescent="0.25">
      <c r="A3" s="288"/>
      <c r="B3" s="288"/>
      <c r="C3" s="288"/>
      <c r="D3" s="288"/>
      <c r="E3" s="288"/>
      <c r="F3" s="288"/>
      <c r="G3" s="288"/>
      <c r="H3" s="288"/>
      <c r="I3" s="288"/>
    </row>
    <row r="4" spans="1:9" ht="14.25" customHeight="1" x14ac:dyDescent="0.25">
      <c r="A4" s="288"/>
      <c r="B4" s="288"/>
      <c r="C4" s="288"/>
      <c r="D4" s="288"/>
      <c r="E4" s="288"/>
      <c r="F4" s="288"/>
      <c r="G4" s="288"/>
      <c r="H4" s="288"/>
      <c r="I4" s="288"/>
    </row>
    <row r="5" spans="1:9" ht="14.25" customHeight="1" x14ac:dyDescent="0.25">
      <c r="A5" s="288"/>
      <c r="B5" s="288"/>
      <c r="C5" s="288"/>
      <c r="D5" s="288"/>
      <c r="E5" s="288"/>
      <c r="F5" s="288"/>
      <c r="G5" s="288"/>
      <c r="H5" s="288"/>
      <c r="I5" s="288"/>
    </row>
    <row r="6" spans="1:9" ht="14.25" customHeight="1" x14ac:dyDescent="0.25">
      <c r="A6" s="288"/>
      <c r="B6" s="288"/>
      <c r="C6" s="288"/>
      <c r="D6" s="288"/>
      <c r="E6" s="288"/>
      <c r="F6" s="288"/>
      <c r="G6" s="288"/>
      <c r="H6" s="288"/>
      <c r="I6" s="288"/>
    </row>
    <row r="7" spans="1:9" ht="14.25" customHeight="1" x14ac:dyDescent="0.25">
      <c r="A7" s="288"/>
      <c r="B7" s="288"/>
      <c r="C7" s="288"/>
      <c r="D7" s="288"/>
      <c r="E7" s="288"/>
      <c r="F7" s="288"/>
      <c r="G7" s="288"/>
      <c r="H7" s="288"/>
      <c r="I7" s="288"/>
    </row>
    <row r="8" spans="1:9" ht="14.25" customHeight="1" x14ac:dyDescent="0.25">
      <c r="A8" s="289" t="s">
        <v>27</v>
      </c>
      <c r="B8" s="289"/>
      <c r="C8" s="289"/>
      <c r="D8" s="289"/>
      <c r="E8" s="289"/>
      <c r="F8" s="289"/>
      <c r="G8" s="289"/>
      <c r="H8" s="289"/>
      <c r="I8" s="289"/>
    </row>
    <row r="9" spans="1:9" ht="14.25" customHeight="1" x14ac:dyDescent="0.25">
      <c r="A9" s="289"/>
      <c r="B9" s="289"/>
      <c r="C9" s="289"/>
      <c r="D9" s="289"/>
      <c r="E9" s="289"/>
      <c r="F9" s="289"/>
      <c r="G9" s="289"/>
      <c r="H9" s="289"/>
      <c r="I9" s="289"/>
    </row>
    <row r="10" spans="1:9" ht="14.25" customHeight="1" x14ac:dyDescent="0.25">
      <c r="A10" s="289"/>
      <c r="B10" s="289"/>
      <c r="C10" s="289"/>
      <c r="D10" s="289"/>
      <c r="E10" s="289"/>
      <c r="F10" s="289"/>
      <c r="G10" s="289"/>
      <c r="H10" s="289"/>
      <c r="I10" s="289"/>
    </row>
    <row r="11" spans="1:9" ht="14.25" customHeight="1" x14ac:dyDescent="0.25">
      <c r="A11" s="289"/>
      <c r="B11" s="289"/>
      <c r="C11" s="289"/>
      <c r="D11" s="289"/>
      <c r="E11" s="289"/>
      <c r="F11" s="289"/>
      <c r="G11" s="289"/>
      <c r="H11" s="289"/>
      <c r="I11" s="289"/>
    </row>
    <row r="12" spans="1:9" ht="14.25" customHeight="1" x14ac:dyDescent="0.25">
      <c r="A12" s="289"/>
      <c r="B12" s="289"/>
      <c r="C12" s="289"/>
      <c r="D12" s="289"/>
      <c r="E12" s="289"/>
      <c r="F12" s="289"/>
      <c r="G12" s="289"/>
      <c r="H12" s="289"/>
      <c r="I12" s="289"/>
    </row>
    <row r="13" spans="1:9" ht="14.25" customHeight="1" x14ac:dyDescent="0.25">
      <c r="A13" s="289"/>
      <c r="B13" s="289"/>
      <c r="C13" s="289"/>
      <c r="D13" s="289"/>
      <c r="E13" s="289"/>
      <c r="F13" s="289"/>
      <c r="G13" s="289"/>
      <c r="H13" s="289"/>
      <c r="I13" s="289"/>
    </row>
    <row r="14" spans="1:9" ht="14.25" customHeight="1" x14ac:dyDescent="0.25">
      <c r="A14" s="289"/>
      <c r="B14" s="289"/>
      <c r="C14" s="289"/>
      <c r="D14" s="289"/>
      <c r="E14" s="289"/>
      <c r="F14" s="289"/>
      <c r="G14" s="289"/>
      <c r="H14" s="289"/>
      <c r="I14" s="289"/>
    </row>
    <row r="15" spans="1:9" ht="18.75" customHeight="1" x14ac:dyDescent="0.3">
      <c r="A15" s="69"/>
      <c r="B15" s="69"/>
      <c r="C15" s="69"/>
      <c r="D15" s="69"/>
      <c r="E15" s="69"/>
      <c r="F15" s="69"/>
      <c r="G15" s="69"/>
      <c r="H15" s="69"/>
    </row>
    <row r="16" spans="1:9" ht="18.75" customHeight="1" x14ac:dyDescent="0.3">
      <c r="A16" s="290" t="s">
        <v>0</v>
      </c>
      <c r="B16" s="291"/>
      <c r="C16" s="291"/>
      <c r="D16" s="291"/>
      <c r="E16" s="291"/>
      <c r="F16" s="291"/>
      <c r="G16" s="291"/>
      <c r="H16" s="291"/>
      <c r="I16" s="291"/>
    </row>
    <row r="17" spans="1:9" ht="18.75" customHeight="1" x14ac:dyDescent="0.3">
      <c r="A17" s="70" t="s">
        <v>28</v>
      </c>
      <c r="B17" s="70"/>
      <c r="C17" s="69"/>
      <c r="D17" s="69"/>
      <c r="E17" s="69"/>
      <c r="F17" s="69"/>
      <c r="G17" s="69"/>
      <c r="H17" s="69"/>
    </row>
    <row r="18" spans="1:9" ht="26.25" customHeight="1" x14ac:dyDescent="0.4">
      <c r="A18" s="71" t="s">
        <v>2</v>
      </c>
      <c r="B18" s="301" t="s">
        <v>3</v>
      </c>
      <c r="C18" s="301"/>
      <c r="D18" s="301"/>
      <c r="E18" s="301"/>
      <c r="F18" s="69"/>
      <c r="G18" s="69"/>
      <c r="H18" s="69"/>
    </row>
    <row r="19" spans="1:9" ht="26.25" customHeight="1" x14ac:dyDescent="0.4">
      <c r="A19" s="71" t="s">
        <v>4</v>
      </c>
      <c r="B19" s="72" t="s">
        <v>5</v>
      </c>
      <c r="C19" s="73">
        <v>30</v>
      </c>
      <c r="D19" s="74"/>
      <c r="E19" s="74"/>
      <c r="F19" s="69"/>
      <c r="G19" s="69"/>
      <c r="H19" s="69"/>
    </row>
    <row r="20" spans="1:9" ht="26.25" customHeight="1" x14ac:dyDescent="0.4">
      <c r="A20" s="71" t="s">
        <v>6</v>
      </c>
      <c r="B20" s="72" t="s">
        <v>99</v>
      </c>
      <c r="C20" s="74"/>
      <c r="D20" s="74"/>
      <c r="E20" s="74"/>
      <c r="F20" s="69"/>
      <c r="G20" s="69"/>
      <c r="H20" s="69"/>
    </row>
    <row r="21" spans="1:9" ht="26.25" customHeight="1" x14ac:dyDescent="0.4">
      <c r="A21" s="71" t="s">
        <v>8</v>
      </c>
      <c r="B21" s="302" t="s">
        <v>100</v>
      </c>
      <c r="C21" s="302"/>
      <c r="D21" s="302"/>
      <c r="E21" s="302"/>
      <c r="F21" s="302"/>
      <c r="G21" s="302"/>
      <c r="H21" s="302"/>
    </row>
    <row r="22" spans="1:9" ht="26.25" customHeight="1" x14ac:dyDescent="0.4">
      <c r="A22" s="71" t="s">
        <v>9</v>
      </c>
      <c r="B22" s="75"/>
      <c r="C22" s="74"/>
      <c r="D22" s="74"/>
      <c r="E22" s="74"/>
      <c r="F22" s="69"/>
      <c r="G22" s="69"/>
      <c r="H22" s="69"/>
    </row>
    <row r="23" spans="1:9" ht="26.25" customHeight="1" x14ac:dyDescent="0.4">
      <c r="A23" s="71" t="s">
        <v>10</v>
      </c>
      <c r="B23" s="76"/>
      <c r="C23" s="74"/>
      <c r="D23" s="74"/>
      <c r="E23" s="74"/>
      <c r="F23" s="69"/>
      <c r="G23" s="69"/>
      <c r="H23" s="69"/>
    </row>
    <row r="24" spans="1:9" ht="18.75" customHeight="1" x14ac:dyDescent="0.3">
      <c r="A24" s="71"/>
      <c r="B24" s="77"/>
      <c r="C24" s="69"/>
      <c r="D24" s="69"/>
      <c r="E24" s="69"/>
      <c r="F24" s="69"/>
      <c r="G24" s="69"/>
      <c r="H24" s="69"/>
    </row>
    <row r="25" spans="1:9" ht="18.75" customHeight="1" x14ac:dyDescent="0.3">
      <c r="A25" s="69"/>
      <c r="B25" s="69"/>
      <c r="C25" s="69"/>
      <c r="D25" s="69"/>
      <c r="E25" s="69"/>
      <c r="F25" s="69"/>
      <c r="G25" s="69"/>
      <c r="H25" s="69"/>
    </row>
    <row r="26" spans="1:9" ht="18.75" customHeight="1" x14ac:dyDescent="0.3">
      <c r="A26" s="70" t="s">
        <v>11</v>
      </c>
      <c r="B26" s="78"/>
      <c r="C26" s="69"/>
      <c r="D26" s="69"/>
      <c r="E26" s="69"/>
      <c r="F26" s="69"/>
      <c r="G26" s="69"/>
      <c r="H26" s="69"/>
    </row>
    <row r="27" spans="1:9" ht="18.75" customHeight="1" x14ac:dyDescent="0.3">
      <c r="A27" s="69" t="s">
        <v>50</v>
      </c>
      <c r="B27" s="79"/>
      <c r="C27" s="69"/>
      <c r="D27" s="69"/>
      <c r="E27" s="69"/>
      <c r="F27" s="69"/>
      <c r="G27" s="69"/>
      <c r="H27" s="69"/>
    </row>
    <row r="28" spans="1:9" ht="26.25" customHeight="1" x14ac:dyDescent="0.4">
      <c r="A28" s="80" t="s">
        <v>64</v>
      </c>
      <c r="B28" s="81">
        <v>20.1281</v>
      </c>
      <c r="C28" s="82" t="s">
        <v>65</v>
      </c>
      <c r="D28" s="277">
        <v>13.5</v>
      </c>
      <c r="E28" s="69" t="str">
        <f>B20</f>
        <v xml:space="preserve">Glucose anhydrous </v>
      </c>
      <c r="F28" s="69"/>
      <c r="G28" s="69"/>
      <c r="H28" s="82"/>
    </row>
    <row r="29" spans="1:9" ht="26.25" customHeight="1" x14ac:dyDescent="0.4">
      <c r="A29" s="80" t="s">
        <v>67</v>
      </c>
      <c r="B29" s="136">
        <v>0.94769999999999999</v>
      </c>
      <c r="C29" s="82"/>
      <c r="D29" s="135"/>
      <c r="E29" s="69"/>
      <c r="F29" s="69"/>
      <c r="G29" s="69"/>
      <c r="H29" s="82"/>
    </row>
    <row r="30" spans="1:9" ht="19.5" customHeight="1" x14ac:dyDescent="0.3">
      <c r="A30" s="69"/>
      <c r="B30" s="69"/>
      <c r="C30" s="69"/>
      <c r="D30" s="69"/>
      <c r="E30" s="69"/>
      <c r="F30" s="69"/>
      <c r="G30" s="69"/>
      <c r="H30" s="82"/>
    </row>
    <row r="31" spans="1:9" ht="27" customHeight="1" x14ac:dyDescent="0.4">
      <c r="A31" s="83" t="s">
        <v>68</v>
      </c>
      <c r="B31" s="84">
        <v>1</v>
      </c>
      <c r="C31" s="69"/>
      <c r="D31" s="85" t="s">
        <v>69</v>
      </c>
      <c r="E31" s="86" t="s">
        <v>70</v>
      </c>
      <c r="F31" s="86" t="s">
        <v>71</v>
      </c>
      <c r="G31" s="86" t="s">
        <v>72</v>
      </c>
      <c r="H31" s="86" t="s">
        <v>73</v>
      </c>
      <c r="I31" s="87" t="s">
        <v>74</v>
      </c>
    </row>
    <row r="32" spans="1:9" ht="26.25" customHeight="1" x14ac:dyDescent="0.4">
      <c r="A32" s="88" t="s">
        <v>75</v>
      </c>
      <c r="B32" s="89">
        <v>1</v>
      </c>
      <c r="C32" s="292" t="s">
        <v>76</v>
      </c>
      <c r="D32" s="309">
        <v>3.6621999999999999</v>
      </c>
      <c r="E32" s="90">
        <v>1</v>
      </c>
      <c r="F32" s="91">
        <v>2.5</v>
      </c>
      <c r="G32" s="92">
        <f>IF(ISBLANK(F32),"-",(F32*$B$29)*$B$40)</f>
        <v>2.3692500000000001</v>
      </c>
      <c r="H32" s="93">
        <f>IF(ISBLANK(F32),"-",(G32*($B$28/$D$32)))</f>
        <v>13.02181773933701</v>
      </c>
      <c r="I32" s="94">
        <f>IF(ISBLANK(F32),"-",H32/$D$28)</f>
        <v>0.96457909180274148</v>
      </c>
    </row>
    <row r="33" spans="1:9" ht="26.25" customHeight="1" x14ac:dyDescent="0.4">
      <c r="A33" s="88" t="s">
        <v>77</v>
      </c>
      <c r="B33" s="89">
        <v>1</v>
      </c>
      <c r="C33" s="293"/>
      <c r="D33" s="310"/>
      <c r="E33" s="95">
        <v>2</v>
      </c>
      <c r="F33" s="96"/>
      <c r="G33" s="97" t="str">
        <f t="shared" ref="G33:G43" si="0">IF(ISBLANK(F33),"-",(F33*$B$29)*$B$40)</f>
        <v>-</v>
      </c>
      <c r="H33" s="98" t="str">
        <f>IF(ISBLANK(F33),"-",(G33*($B$28/$D$32)))</f>
        <v>-</v>
      </c>
      <c r="I33" s="99" t="str">
        <f t="shared" ref="I33:I43" si="1">IF(ISBLANK(F33),"-",H33/$D$28)</f>
        <v>-</v>
      </c>
    </row>
    <row r="34" spans="1:9" ht="26.25" customHeight="1" x14ac:dyDescent="0.4">
      <c r="A34" s="88" t="s">
        <v>78</v>
      </c>
      <c r="B34" s="89">
        <v>1</v>
      </c>
      <c r="C34" s="293"/>
      <c r="D34" s="310"/>
      <c r="E34" s="95">
        <v>3</v>
      </c>
      <c r="F34" s="96"/>
      <c r="G34" s="97" t="str">
        <f t="shared" si="0"/>
        <v>-</v>
      </c>
      <c r="H34" s="98" t="str">
        <f>IF(ISBLANK(F34),"-",(G34*($B$28/$D$32)))</f>
        <v>-</v>
      </c>
      <c r="I34" s="99" t="str">
        <f t="shared" si="1"/>
        <v>-</v>
      </c>
    </row>
    <row r="35" spans="1:9" ht="27" customHeight="1" x14ac:dyDescent="0.4">
      <c r="A35" s="88" t="s">
        <v>79</v>
      </c>
      <c r="B35" s="89">
        <v>1</v>
      </c>
      <c r="C35" s="294"/>
      <c r="D35" s="311"/>
      <c r="E35" s="100">
        <v>4</v>
      </c>
      <c r="F35" s="101"/>
      <c r="G35" s="97" t="str">
        <f t="shared" si="0"/>
        <v>-</v>
      </c>
      <c r="H35" s="102" t="str">
        <f>IF(ISBLANK(F35),"-",(G35*($B$28/$D$32)))</f>
        <v>-</v>
      </c>
      <c r="I35" s="99" t="str">
        <f t="shared" si="1"/>
        <v>-</v>
      </c>
    </row>
    <row r="36" spans="1:9" ht="26.25" customHeight="1" x14ac:dyDescent="0.4">
      <c r="A36" s="88" t="s">
        <v>80</v>
      </c>
      <c r="B36" s="89">
        <v>1</v>
      </c>
      <c r="C36" s="292" t="s">
        <v>81</v>
      </c>
      <c r="D36" s="312">
        <v>3.8925999999999998</v>
      </c>
      <c r="E36" s="90">
        <v>1</v>
      </c>
      <c r="F36" s="91">
        <v>2.63</v>
      </c>
      <c r="G36" s="92">
        <f>IF(ISBLANK(F36),"-",(F36*$B$29)*$B$40)</f>
        <v>2.492451</v>
      </c>
      <c r="H36" s="103">
        <f>IF(ISBLANK(F36),"-",(G36*($B$28/$D$36)))</f>
        <v>12.888121813980373</v>
      </c>
      <c r="I36" s="94">
        <f t="shared" si="1"/>
        <v>0.95467568992447205</v>
      </c>
    </row>
    <row r="37" spans="1:9" ht="26.25" customHeight="1" x14ac:dyDescent="0.4">
      <c r="A37" s="88" t="s">
        <v>82</v>
      </c>
      <c r="B37" s="89">
        <v>1</v>
      </c>
      <c r="C37" s="293"/>
      <c r="D37" s="313"/>
      <c r="E37" s="95">
        <v>2</v>
      </c>
      <c r="F37" s="96"/>
      <c r="G37" s="97" t="str">
        <f t="shared" si="0"/>
        <v>-</v>
      </c>
      <c r="H37" s="103" t="str">
        <f>IF(ISBLANK(F37),"-",(G37*($B$28/$D$36)))</f>
        <v>-</v>
      </c>
      <c r="I37" s="99" t="str">
        <f t="shared" si="1"/>
        <v>-</v>
      </c>
    </row>
    <row r="38" spans="1:9" ht="26.25" customHeight="1" x14ac:dyDescent="0.4">
      <c r="A38" s="88" t="s">
        <v>83</v>
      </c>
      <c r="B38" s="89">
        <v>1</v>
      </c>
      <c r="C38" s="293"/>
      <c r="D38" s="313"/>
      <c r="E38" s="95">
        <v>3</v>
      </c>
      <c r="F38" s="96"/>
      <c r="G38" s="97" t="str">
        <f>IF(ISBLANK(F38),"-",(F38*$B$29)*$B$40)</f>
        <v>-</v>
      </c>
      <c r="H38" s="103" t="str">
        <f>IF(ISBLANK(F38),"-",(G38*($B$28/$D$36)))</f>
        <v>-</v>
      </c>
      <c r="I38" s="99" t="str">
        <f t="shared" si="1"/>
        <v>-</v>
      </c>
    </row>
    <row r="39" spans="1:9" ht="27" customHeight="1" x14ac:dyDescent="0.4">
      <c r="A39" s="88" t="s">
        <v>84</v>
      </c>
      <c r="B39" s="89">
        <v>1</v>
      </c>
      <c r="C39" s="294"/>
      <c r="D39" s="314"/>
      <c r="E39" s="100">
        <v>4</v>
      </c>
      <c r="F39" s="101"/>
      <c r="G39" s="104" t="str">
        <f t="shared" si="0"/>
        <v>-</v>
      </c>
      <c r="H39" s="103" t="str">
        <f>IF(ISBLANK(F39),"-",(G39*($B$28/$D$36)))</f>
        <v>-</v>
      </c>
      <c r="I39" s="105" t="str">
        <f t="shared" si="1"/>
        <v>-</v>
      </c>
    </row>
    <row r="40" spans="1:9" ht="26.25" customHeight="1" x14ac:dyDescent="0.4">
      <c r="A40" s="88" t="s">
        <v>85</v>
      </c>
      <c r="B40" s="106">
        <v>1</v>
      </c>
      <c r="C40" s="292" t="s">
        <v>86</v>
      </c>
      <c r="D40" s="309">
        <v>4.3269000000000002</v>
      </c>
      <c r="E40" s="90">
        <v>1</v>
      </c>
      <c r="F40" s="91">
        <v>2.92</v>
      </c>
      <c r="G40" s="97">
        <f t="shared" si="0"/>
        <v>2.7672840000000001</v>
      </c>
      <c r="H40" s="93">
        <f>IF(ISBLANK(F40),"-",(G40*($B$28/$D$40)))</f>
        <v>12.87299662122998</v>
      </c>
      <c r="I40" s="99">
        <f t="shared" si="1"/>
        <v>0.95355530527629484</v>
      </c>
    </row>
    <row r="41" spans="1:9" ht="27" customHeight="1" x14ac:dyDescent="0.4">
      <c r="A41" s="107"/>
      <c r="B41" s="108"/>
      <c r="C41" s="293"/>
      <c r="D41" s="310"/>
      <c r="E41" s="95">
        <v>2</v>
      </c>
      <c r="F41" s="96"/>
      <c r="G41" s="97" t="str">
        <f t="shared" si="0"/>
        <v>-</v>
      </c>
      <c r="H41" s="98" t="str">
        <f>IF(ISBLANK(F41),"-",(G41*($B$28/$D$40)))</f>
        <v>-</v>
      </c>
      <c r="I41" s="99" t="str">
        <f t="shared" si="1"/>
        <v>-</v>
      </c>
    </row>
    <row r="42" spans="1:9" ht="26.25" customHeight="1" x14ac:dyDescent="0.4">
      <c r="A42" s="296" t="s">
        <v>87</v>
      </c>
      <c r="B42" s="297"/>
      <c r="C42" s="293"/>
      <c r="D42" s="310"/>
      <c r="E42" s="95">
        <v>3</v>
      </c>
      <c r="F42" s="96"/>
      <c r="G42" s="97" t="str">
        <f t="shared" si="0"/>
        <v>-</v>
      </c>
      <c r="H42" s="98" t="str">
        <f>IF(ISBLANK(F42),"-",(G42*($B$28/$D$40)))</f>
        <v>-</v>
      </c>
      <c r="I42" s="99" t="str">
        <f t="shared" si="1"/>
        <v>-</v>
      </c>
    </row>
    <row r="43" spans="1:9" ht="27" customHeight="1" x14ac:dyDescent="0.4">
      <c r="A43" s="298"/>
      <c r="B43" s="299"/>
      <c r="C43" s="295"/>
      <c r="D43" s="311"/>
      <c r="E43" s="100">
        <v>4</v>
      </c>
      <c r="F43" s="101"/>
      <c r="G43" s="104" t="str">
        <f t="shared" si="0"/>
        <v>-</v>
      </c>
      <c r="H43" s="102" t="str">
        <f>IF(ISBLANK(F43),"-",(G43*($B$28/$D$40)))</f>
        <v>-</v>
      </c>
      <c r="I43" s="105" t="str">
        <f t="shared" si="1"/>
        <v>-</v>
      </c>
    </row>
    <row r="44" spans="1:9" ht="26.25" customHeight="1" x14ac:dyDescent="0.4">
      <c r="A44" s="109"/>
      <c r="B44" s="109"/>
      <c r="C44" s="109"/>
      <c r="D44" s="109"/>
      <c r="E44" s="109"/>
      <c r="F44" s="110"/>
      <c r="G44" s="111" t="s">
        <v>88</v>
      </c>
      <c r="H44" s="278">
        <f>AVERAGE(H32:H43)</f>
        <v>12.927645391515787</v>
      </c>
      <c r="I44" s="112">
        <f>AVERAGE(I32:I43)</f>
        <v>0.95760336233450294</v>
      </c>
    </row>
    <row r="45" spans="1:9" ht="26.25" customHeight="1" x14ac:dyDescent="0.4">
      <c r="A45" s="69"/>
      <c r="B45" s="69"/>
      <c r="C45" s="109"/>
      <c r="D45" s="109"/>
      <c r="E45" s="109"/>
      <c r="F45" s="110"/>
      <c r="G45" s="113" t="s">
        <v>47</v>
      </c>
      <c r="H45" s="114">
        <f>STDEV(H32:H43)/H44</f>
        <v>6.3356883326299808E-3</v>
      </c>
      <c r="I45" s="114">
        <f>STDEV(I32:I43)/I44</f>
        <v>6.3356883326299834E-3</v>
      </c>
    </row>
    <row r="46" spans="1:9" ht="27" customHeight="1" x14ac:dyDescent="0.4">
      <c r="A46" s="109"/>
      <c r="B46" s="109">
        <f>7.5*13.5/20</f>
        <v>5.0625</v>
      </c>
      <c r="C46" s="110"/>
      <c r="D46" s="110"/>
      <c r="E46" s="115"/>
      <c r="F46" s="110"/>
      <c r="G46" s="116" t="s">
        <v>48</v>
      </c>
      <c r="H46" s="117">
        <f>COUNT(H32:H43)</f>
        <v>3</v>
      </c>
      <c r="I46" s="117">
        <f>COUNT(I32:I43)</f>
        <v>3</v>
      </c>
    </row>
    <row r="47" spans="1:9" ht="18.75" customHeight="1" x14ac:dyDescent="0.3">
      <c r="A47" s="109"/>
      <c r="B47" s="109"/>
      <c r="C47" s="110"/>
      <c r="D47" s="110"/>
      <c r="E47" s="110"/>
      <c r="F47" s="115"/>
      <c r="G47" s="110"/>
      <c r="H47" s="110"/>
    </row>
    <row r="48" spans="1:9" ht="26.25" customHeight="1" x14ac:dyDescent="0.4">
      <c r="A48" s="118" t="s">
        <v>89</v>
      </c>
      <c r="B48" s="119" t="s">
        <v>90</v>
      </c>
      <c r="C48" s="300" t="str">
        <f>B20</f>
        <v xml:space="preserve">Glucose anhydrous </v>
      </c>
      <c r="D48" s="300"/>
      <c r="E48" s="120" t="s">
        <v>91</v>
      </c>
      <c r="F48" s="120"/>
      <c r="G48" s="121">
        <f>I44</f>
        <v>0.95760336233450294</v>
      </c>
      <c r="H48" s="110"/>
    </row>
    <row r="49" spans="1:8" ht="19.5" customHeight="1" x14ac:dyDescent="0.3">
      <c r="A49" s="122"/>
      <c r="B49" s="123"/>
      <c r="C49" s="123"/>
      <c r="D49" s="123"/>
      <c r="E49" s="123"/>
      <c r="F49" s="123"/>
      <c r="G49" s="123"/>
      <c r="H49" s="123"/>
    </row>
    <row r="50" spans="1:8" ht="18.75" customHeight="1" x14ac:dyDescent="0.3">
      <c r="A50" s="69"/>
      <c r="B50" s="287" t="s">
        <v>21</v>
      </c>
      <c r="C50" s="287"/>
      <c r="D50" s="82"/>
      <c r="E50" s="124" t="s">
        <v>22</v>
      </c>
      <c r="F50" s="125"/>
      <c r="G50" s="287" t="s">
        <v>23</v>
      </c>
      <c r="H50" s="287"/>
    </row>
    <row r="51" spans="1:8" ht="60" customHeight="1" x14ac:dyDescent="0.3">
      <c r="A51" s="126" t="s">
        <v>24</v>
      </c>
      <c r="B51" s="127"/>
      <c r="C51" s="127"/>
      <c r="D51" s="128"/>
      <c r="E51" s="129"/>
      <c r="F51" s="69"/>
      <c r="G51" s="130"/>
      <c r="H51" s="130"/>
    </row>
    <row r="52" spans="1:8" ht="60" customHeight="1" x14ac:dyDescent="0.3">
      <c r="A52" s="126" t="s">
        <v>25</v>
      </c>
      <c r="B52" s="131"/>
      <c r="C52" s="131"/>
      <c r="D52" s="132"/>
      <c r="E52" s="133"/>
      <c r="F52" s="125"/>
      <c r="G52" s="134"/>
      <c r="H52" s="1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15">
    <mergeCell ref="B50:C50"/>
    <mergeCell ref="G50:H50"/>
    <mergeCell ref="A1:I7"/>
    <mergeCell ref="A8:I14"/>
    <mergeCell ref="A16:I16"/>
    <mergeCell ref="C36:C39"/>
    <mergeCell ref="D36:D39"/>
    <mergeCell ref="C40:C43"/>
    <mergeCell ref="D40:D43"/>
    <mergeCell ref="A42:B43"/>
    <mergeCell ref="C48:D48"/>
    <mergeCell ref="B18:E18"/>
    <mergeCell ref="B21:H21"/>
    <mergeCell ref="C32:C35"/>
    <mergeCell ref="D32:D35"/>
  </mergeCells>
  <conditionalFormatting sqref="H45">
    <cfRule type="cellIs" dxfId="15" priority="1" operator="greaterThan">
      <formula>0.02</formula>
    </cfRule>
  </conditionalFormatting>
  <conditionalFormatting sqref="I45">
    <cfRule type="cellIs" dxfId="14" priority="2" operator="greaterThan">
      <formula>0.02</formula>
    </cfRule>
  </conditionalFormatting>
  <pageMargins left="0.7" right="0.7" top="0.75" bottom="0.75" header="0.3" footer="0.3"/>
  <pageSetup scale="43" orientation="landscape" r:id="rId1"/>
  <headerFooter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31" zoomScale="50" zoomScaleNormal="75" zoomScaleSheetLayoutView="50" workbookViewId="0">
      <selection activeCell="C56" sqref="C56"/>
    </sheetView>
  </sheetViews>
  <sheetFormatPr defaultRowHeight="12.75" x14ac:dyDescent="0.2"/>
  <cols>
    <col min="1" max="1" width="100.42578125" style="7" customWidth="1"/>
    <col min="2" max="2" width="32.28515625" style="7" customWidth="1"/>
    <col min="3" max="3" width="33.28515625" style="7" customWidth="1"/>
    <col min="4" max="4" width="30.5703125" style="7" customWidth="1"/>
    <col min="5" max="5" width="33.5703125" style="7" customWidth="1"/>
    <col min="6" max="6" width="39.85546875" style="7" customWidth="1"/>
    <col min="7" max="7" width="31.7109375" style="7" customWidth="1"/>
    <col min="8" max="8" width="31.140625" style="7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x14ac:dyDescent="0.2">
      <c r="A1" s="288" t="s">
        <v>26</v>
      </c>
      <c r="B1" s="288"/>
      <c r="C1" s="288"/>
      <c r="D1" s="288"/>
      <c r="E1" s="288"/>
      <c r="F1" s="288"/>
      <c r="G1" s="288"/>
      <c r="H1" s="288"/>
      <c r="I1" s="288"/>
    </row>
    <row r="2" spans="1:9" x14ac:dyDescent="0.2">
      <c r="A2" s="288"/>
      <c r="B2" s="288"/>
      <c r="C2" s="288"/>
      <c r="D2" s="288"/>
      <c r="E2" s="288"/>
      <c r="F2" s="288"/>
      <c r="G2" s="288"/>
      <c r="H2" s="288"/>
      <c r="I2" s="288"/>
    </row>
    <row r="3" spans="1:9" x14ac:dyDescent="0.2">
      <c r="A3" s="288"/>
      <c r="B3" s="288"/>
      <c r="C3" s="288"/>
      <c r="D3" s="288"/>
      <c r="E3" s="288"/>
      <c r="F3" s="288"/>
      <c r="G3" s="288"/>
      <c r="H3" s="288"/>
      <c r="I3" s="288"/>
    </row>
    <row r="4" spans="1:9" x14ac:dyDescent="0.2">
      <c r="A4" s="288"/>
      <c r="B4" s="288"/>
      <c r="C4" s="288"/>
      <c r="D4" s="288"/>
      <c r="E4" s="288"/>
      <c r="F4" s="288"/>
      <c r="G4" s="288"/>
      <c r="H4" s="288"/>
      <c r="I4" s="288"/>
    </row>
    <row r="5" spans="1:9" x14ac:dyDescent="0.2">
      <c r="A5" s="288"/>
      <c r="B5" s="288"/>
      <c r="C5" s="288"/>
      <c r="D5" s="288"/>
      <c r="E5" s="288"/>
      <c r="F5" s="288"/>
      <c r="G5" s="288"/>
      <c r="H5" s="288"/>
      <c r="I5" s="288"/>
    </row>
    <row r="6" spans="1:9" x14ac:dyDescent="0.2">
      <c r="A6" s="288"/>
      <c r="B6" s="288"/>
      <c r="C6" s="288"/>
      <c r="D6" s="288"/>
      <c r="E6" s="288"/>
      <c r="F6" s="288"/>
      <c r="G6" s="288"/>
      <c r="H6" s="288"/>
      <c r="I6" s="288"/>
    </row>
    <row r="7" spans="1:9" x14ac:dyDescent="0.2">
      <c r="A7" s="288"/>
      <c r="B7" s="288"/>
      <c r="C7" s="288"/>
      <c r="D7" s="288"/>
      <c r="E7" s="288"/>
      <c r="F7" s="288"/>
      <c r="G7" s="288"/>
      <c r="H7" s="288"/>
      <c r="I7" s="288"/>
    </row>
    <row r="8" spans="1:9" x14ac:dyDescent="0.2">
      <c r="A8" s="289" t="s">
        <v>27</v>
      </c>
      <c r="B8" s="289"/>
      <c r="C8" s="289"/>
      <c r="D8" s="289"/>
      <c r="E8" s="289"/>
      <c r="F8" s="289"/>
      <c r="G8" s="289"/>
      <c r="H8" s="289"/>
      <c r="I8" s="289"/>
    </row>
    <row r="9" spans="1:9" x14ac:dyDescent="0.2">
      <c r="A9" s="289"/>
      <c r="B9" s="289"/>
      <c r="C9" s="289"/>
      <c r="D9" s="289"/>
      <c r="E9" s="289"/>
      <c r="F9" s="289"/>
      <c r="G9" s="289"/>
      <c r="H9" s="289"/>
      <c r="I9" s="289"/>
    </row>
    <row r="10" spans="1:9" x14ac:dyDescent="0.2">
      <c r="A10" s="289"/>
      <c r="B10" s="289"/>
      <c r="C10" s="289"/>
      <c r="D10" s="289"/>
      <c r="E10" s="289"/>
      <c r="F10" s="289"/>
      <c r="G10" s="289"/>
      <c r="H10" s="289"/>
      <c r="I10" s="289"/>
    </row>
    <row r="11" spans="1:9" x14ac:dyDescent="0.2">
      <c r="A11" s="289"/>
      <c r="B11" s="289"/>
      <c r="C11" s="289"/>
      <c r="D11" s="289"/>
      <c r="E11" s="289"/>
      <c r="F11" s="289"/>
      <c r="G11" s="289"/>
      <c r="H11" s="289"/>
      <c r="I11" s="289"/>
    </row>
    <row r="12" spans="1:9" x14ac:dyDescent="0.2">
      <c r="A12" s="289"/>
      <c r="B12" s="289"/>
      <c r="C12" s="289"/>
      <c r="D12" s="289"/>
      <c r="E12" s="289"/>
      <c r="F12" s="289"/>
      <c r="G12" s="289"/>
      <c r="H12" s="289"/>
      <c r="I12" s="289"/>
    </row>
    <row r="13" spans="1:9" x14ac:dyDescent="0.2">
      <c r="A13" s="289"/>
      <c r="B13" s="289"/>
      <c r="C13" s="289"/>
      <c r="D13" s="289"/>
      <c r="E13" s="289"/>
      <c r="F13" s="289"/>
      <c r="G13" s="289"/>
      <c r="H13" s="289"/>
      <c r="I13" s="289"/>
    </row>
    <row r="14" spans="1:9" x14ac:dyDescent="0.2">
      <c r="A14" s="289"/>
      <c r="B14" s="289"/>
      <c r="C14" s="289"/>
      <c r="D14" s="289"/>
      <c r="E14" s="289"/>
      <c r="F14" s="289"/>
      <c r="G14" s="289"/>
      <c r="H14" s="289"/>
      <c r="I14" s="289"/>
    </row>
    <row r="15" spans="1:9" ht="19.5" customHeight="1" x14ac:dyDescent="0.2"/>
    <row r="16" spans="1:9" ht="19.5" customHeight="1" x14ac:dyDescent="0.2">
      <c r="A16" s="305" t="s">
        <v>0</v>
      </c>
      <c r="B16" s="306"/>
      <c r="C16" s="306"/>
      <c r="D16" s="306"/>
      <c r="E16" s="306"/>
      <c r="F16" s="306"/>
      <c r="G16" s="306"/>
      <c r="H16" s="307"/>
    </row>
    <row r="17" spans="1:14" ht="18.75" x14ac:dyDescent="0.2">
      <c r="A17" s="308" t="s">
        <v>28</v>
      </c>
      <c r="B17" s="308"/>
      <c r="C17" s="308"/>
      <c r="D17" s="308"/>
      <c r="E17" s="308"/>
      <c r="F17" s="308"/>
      <c r="G17" s="308"/>
      <c r="H17" s="308"/>
    </row>
    <row r="18" spans="1:14" ht="18.75" x14ac:dyDescent="0.2">
      <c r="A18" s="144" t="s">
        <v>2</v>
      </c>
      <c r="B18" s="174" t="s">
        <v>93</v>
      </c>
      <c r="C18" s="174"/>
      <c r="D18" s="174"/>
      <c r="E18" s="174"/>
    </row>
    <row r="19" spans="1:14" ht="18.75" x14ac:dyDescent="0.2">
      <c r="A19" s="144" t="s">
        <v>4</v>
      </c>
      <c r="B19" s="175" t="s">
        <v>5</v>
      </c>
      <c r="C19" s="272">
        <v>16</v>
      </c>
    </row>
    <row r="20" spans="1:14" ht="18.75" x14ac:dyDescent="0.2">
      <c r="A20" s="144" t="s">
        <v>6</v>
      </c>
      <c r="B20" s="175" t="s">
        <v>94</v>
      </c>
    </row>
    <row r="21" spans="1:14" ht="18.75" x14ac:dyDescent="0.3">
      <c r="A21" s="144" t="s">
        <v>8</v>
      </c>
      <c r="B21" s="145" t="s">
        <v>95</v>
      </c>
      <c r="C21" s="145"/>
      <c r="D21" s="145"/>
      <c r="E21" s="145"/>
      <c r="F21" s="145"/>
      <c r="G21" s="145"/>
      <c r="H21" s="145"/>
      <c r="I21" s="141"/>
    </row>
    <row r="22" spans="1:14" ht="18.75" x14ac:dyDescent="0.2">
      <c r="A22" s="144" t="s">
        <v>9</v>
      </c>
      <c r="B22" s="176"/>
    </row>
    <row r="23" spans="1:14" ht="18.75" x14ac:dyDescent="0.2">
      <c r="A23" s="144" t="s">
        <v>10</v>
      </c>
      <c r="B23" s="176"/>
    </row>
    <row r="24" spans="1:14" ht="18.75" x14ac:dyDescent="0.2">
      <c r="A24" s="144"/>
      <c r="B24" s="146"/>
    </row>
    <row r="25" spans="1:14" ht="18.75" x14ac:dyDescent="0.2">
      <c r="A25" s="147" t="s">
        <v>11</v>
      </c>
      <c r="B25" s="153" t="s">
        <v>29</v>
      </c>
    </row>
    <row r="26" spans="1:14" s="38" customFormat="1" ht="18.75" x14ac:dyDescent="0.3">
      <c r="A26" s="148"/>
      <c r="B26" s="149"/>
      <c r="C26" s="171"/>
      <c r="D26" s="171"/>
      <c r="E26" s="171"/>
      <c r="F26" s="171"/>
      <c r="G26" s="143"/>
      <c r="H26" s="171"/>
      <c r="I26" s="172"/>
      <c r="J26" s="172"/>
      <c r="K26" s="172"/>
      <c r="L26" s="138"/>
      <c r="M26" s="138"/>
      <c r="N26" s="173"/>
    </row>
    <row r="27" spans="1:14" s="38" customFormat="1" ht="26.25" customHeight="1" x14ac:dyDescent="0.4">
      <c r="A27" s="184" t="s">
        <v>30</v>
      </c>
      <c r="B27" s="212" t="s">
        <v>92</v>
      </c>
      <c r="C27" s="210"/>
      <c r="D27" s="195"/>
      <c r="E27" s="185"/>
      <c r="F27" s="185"/>
      <c r="G27" s="185"/>
      <c r="H27" s="171"/>
      <c r="I27" s="172"/>
      <c r="J27" s="172"/>
      <c r="K27" s="172"/>
      <c r="L27" s="138"/>
      <c r="M27" s="138"/>
      <c r="N27" s="173"/>
    </row>
    <row r="28" spans="1:14" s="38" customFormat="1" ht="26.25" customHeight="1" x14ac:dyDescent="0.4">
      <c r="A28" s="150" t="s">
        <v>31</v>
      </c>
      <c r="B28" s="210">
        <v>204.2</v>
      </c>
      <c r="C28" s="211"/>
      <c r="D28" s="183"/>
      <c r="E28" s="183"/>
      <c r="F28" s="183"/>
      <c r="G28" s="183"/>
      <c r="H28" s="181"/>
      <c r="I28" s="172"/>
      <c r="J28" s="172"/>
      <c r="K28" s="172"/>
      <c r="L28" s="138"/>
      <c r="M28" s="138"/>
      <c r="N28" s="173"/>
    </row>
    <row r="29" spans="1:14" s="38" customFormat="1" ht="26.25" customHeight="1" x14ac:dyDescent="0.4">
      <c r="A29" s="238" t="s">
        <v>32</v>
      </c>
      <c r="B29" s="239">
        <v>0.1</v>
      </c>
      <c r="C29" s="211"/>
      <c r="D29" s="183"/>
      <c r="E29" s="183"/>
      <c r="F29" s="183"/>
      <c r="G29" s="183"/>
      <c r="H29" s="181"/>
      <c r="I29" s="172"/>
      <c r="J29" s="172"/>
      <c r="K29" s="172"/>
      <c r="L29" s="138"/>
      <c r="M29" s="138"/>
      <c r="N29" s="173"/>
    </row>
    <row r="30" spans="1:14" s="38" customFormat="1" ht="18.75" x14ac:dyDescent="0.3">
      <c r="A30" s="201" t="s">
        <v>33</v>
      </c>
      <c r="B30" s="196">
        <v>1</v>
      </c>
      <c r="C30" s="197" t="s">
        <v>34</v>
      </c>
      <c r="D30" s="196">
        <v>1</v>
      </c>
      <c r="F30" s="171"/>
      <c r="G30" s="143"/>
      <c r="H30" s="171"/>
      <c r="I30" s="172"/>
      <c r="J30" s="172"/>
      <c r="K30" s="172"/>
      <c r="L30" s="138"/>
      <c r="M30" s="138"/>
      <c r="N30" s="173"/>
    </row>
    <row r="31" spans="1:14" s="38" customFormat="1" ht="18.75" x14ac:dyDescent="0.3">
      <c r="A31" s="148"/>
      <c r="B31" s="149"/>
      <c r="C31" s="171"/>
      <c r="D31" s="171"/>
      <c r="E31" s="171"/>
      <c r="F31" s="171"/>
      <c r="G31" s="143"/>
      <c r="H31" s="171"/>
      <c r="I31" s="172"/>
      <c r="J31" s="172"/>
      <c r="K31" s="172"/>
      <c r="L31" s="138"/>
      <c r="M31" s="138"/>
      <c r="N31" s="173"/>
    </row>
    <row r="32" spans="1:14" s="38" customFormat="1" ht="19.5" customHeight="1" x14ac:dyDescent="0.3">
      <c r="A32" s="148"/>
      <c r="B32" s="149"/>
      <c r="C32" s="171"/>
      <c r="D32" s="171"/>
      <c r="E32" s="171"/>
      <c r="F32" s="171"/>
      <c r="G32" s="143"/>
      <c r="H32" s="171"/>
      <c r="I32" s="172"/>
      <c r="J32" s="172"/>
      <c r="K32" s="172"/>
      <c r="L32" s="138"/>
      <c r="M32" s="138"/>
      <c r="N32" s="173"/>
    </row>
    <row r="33" spans="1:14" s="38" customFormat="1" ht="19.5" customHeight="1" x14ac:dyDescent="0.3">
      <c r="A33" s="157" t="s">
        <v>35</v>
      </c>
      <c r="B33" s="157" t="s">
        <v>36</v>
      </c>
      <c r="C33" s="205" t="s">
        <v>37</v>
      </c>
      <c r="D33" s="157" t="s">
        <v>38</v>
      </c>
      <c r="E33" s="209" t="s">
        <v>39</v>
      </c>
      <c r="F33" s="213" t="s">
        <v>40</v>
      </c>
      <c r="G33" s="157" t="s">
        <v>41</v>
      </c>
      <c r="J33" s="172"/>
      <c r="K33" s="172"/>
      <c r="L33" s="138"/>
      <c r="M33" s="138"/>
      <c r="N33" s="173"/>
    </row>
    <row r="34" spans="1:14" s="38" customFormat="1" ht="26.25" customHeight="1" x14ac:dyDescent="0.4">
      <c r="A34" s="198" t="s">
        <v>42</v>
      </c>
      <c r="B34" s="202">
        <v>352.38</v>
      </c>
      <c r="C34" s="206">
        <f>IF(ISBLANK(B34), "-",B34/$B$28*($B$30/$D$30))</f>
        <v>1.7256611165523996</v>
      </c>
      <c r="D34" s="202">
        <v>17.899999999999999</v>
      </c>
      <c r="E34" s="240">
        <f>IF(ISBLANK(B34), "-",C34/D34)</f>
        <v>9.6405648969407814E-2</v>
      </c>
      <c r="F34" s="249">
        <f>IF(ISBLANK(B34), "-",(E34-$B$29)/$B$29)</f>
        <v>-3.5943510305921911E-2</v>
      </c>
      <c r="G34" s="243">
        <f>IF(ISBLANK(B34),"-",E34/$B$29)</f>
        <v>0.96405648969407809</v>
      </c>
      <c r="J34" s="172"/>
      <c r="K34" s="172"/>
      <c r="L34" s="138"/>
      <c r="M34" s="138"/>
      <c r="N34" s="173"/>
    </row>
    <row r="35" spans="1:14" s="38" customFormat="1" ht="26.25" customHeight="1" x14ac:dyDescent="0.4">
      <c r="A35" s="199" t="s">
        <v>43</v>
      </c>
      <c r="B35" s="203">
        <v>355.25</v>
      </c>
      <c r="C35" s="207">
        <f>IF(ISBLANK(B35), "-",B35/$B$28*($B$30/$D$30))</f>
        <v>1.7397159647404505</v>
      </c>
      <c r="D35" s="203">
        <v>17.600000000000001</v>
      </c>
      <c r="E35" s="241">
        <f>IF(ISBLANK(B35), "-",C35/D35)</f>
        <v>9.8847497996616504E-2</v>
      </c>
      <c r="F35" s="250">
        <f>IF(ISBLANK(B35), "-",(E35-$B$29)/$B$29)</f>
        <v>-1.1525020033835015E-2</v>
      </c>
      <c r="G35" s="244">
        <f>IF(ISBLANK(B35),"-",E35/$B$29)</f>
        <v>0.98847497996616496</v>
      </c>
      <c r="J35" s="172"/>
      <c r="K35" s="172"/>
      <c r="L35" s="138"/>
      <c r="M35" s="138"/>
      <c r="N35" s="173"/>
    </row>
    <row r="36" spans="1:14" s="38" customFormat="1" ht="26.25" customHeight="1" x14ac:dyDescent="0.4">
      <c r="A36" s="199" t="s">
        <v>44</v>
      </c>
      <c r="B36" s="203">
        <v>364.45</v>
      </c>
      <c r="C36" s="207">
        <f>IF(ISBLANK(B36), "-",B36/$B$28*($B$30/$D$30))</f>
        <v>1.784769833496572</v>
      </c>
      <c r="D36" s="203">
        <v>18</v>
      </c>
      <c r="E36" s="241">
        <f>IF(ISBLANK(B36), "-",C36/D36)</f>
        <v>9.9153879638698442E-2</v>
      </c>
      <c r="F36" s="250">
        <f>IF(ISBLANK(B36), "-",(E36-$B$29)/$B$29)</f>
        <v>-8.4612036130156387E-3</v>
      </c>
      <c r="G36" s="244">
        <f>IF(ISBLANK(B36),"-",E36/$B$29)</f>
        <v>0.99153879638698439</v>
      </c>
      <c r="J36" s="172"/>
      <c r="K36" s="172"/>
      <c r="L36" s="138"/>
      <c r="M36" s="138"/>
      <c r="N36" s="173"/>
    </row>
    <row r="37" spans="1:14" s="38" customFormat="1" ht="27" customHeight="1" x14ac:dyDescent="0.4">
      <c r="A37" s="200" t="s">
        <v>45</v>
      </c>
      <c r="B37" s="204"/>
      <c r="C37" s="208" t="str">
        <f>IF(ISBLANK(B37), "-",B37/$B$28*($B$30/$D$30))</f>
        <v>-</v>
      </c>
      <c r="D37" s="204"/>
      <c r="E37" s="242" t="str">
        <f>IF(ISBLANK(B37), "-",C37/D37)</f>
        <v>-</v>
      </c>
      <c r="F37" s="251" t="str">
        <f>IF(ISBLANK(B37), "-",(E37-$B$29)/$B$29)</f>
        <v>-</v>
      </c>
      <c r="G37" s="245" t="str">
        <f>IF(ISBLANK(B37),"-",E37/$B$29)</f>
        <v>-</v>
      </c>
      <c r="J37" s="172"/>
      <c r="K37" s="172"/>
      <c r="L37" s="138"/>
      <c r="M37" s="138"/>
      <c r="N37" s="173"/>
    </row>
    <row r="38" spans="1:14" ht="19.5" customHeight="1" x14ac:dyDescent="0.3">
      <c r="A38" s="137"/>
      <c r="B38" s="137"/>
      <c r="C38" s="137"/>
      <c r="D38" s="226" t="s">
        <v>46</v>
      </c>
      <c r="E38" s="194">
        <f>AVERAGE(E34:E37)</f>
        <v>9.8135675534907582E-2</v>
      </c>
      <c r="F38" s="270">
        <f>AVERAGE(F34:F37)</f>
        <v>-1.8643244650924189E-2</v>
      </c>
      <c r="G38" s="269">
        <f>AVERAGE(G34:G37)</f>
        <v>0.98135675534907596</v>
      </c>
      <c r="H38" s="137"/>
      <c r="L38" s="138"/>
      <c r="M38" s="138"/>
      <c r="N38" s="139"/>
    </row>
    <row r="39" spans="1:14" ht="18.75" x14ac:dyDescent="0.3">
      <c r="A39" s="137"/>
      <c r="B39" s="177"/>
      <c r="C39" s="179"/>
      <c r="D39" s="190" t="s">
        <v>47</v>
      </c>
      <c r="E39" s="191">
        <f>STDEV(E34:E37)/E38</f>
        <v>1.5346694390125638E-2</v>
      </c>
      <c r="F39" s="247"/>
      <c r="G39" s="137"/>
      <c r="H39" s="137"/>
    </row>
    <row r="40" spans="1:14" ht="19.5" customHeight="1" x14ac:dyDescent="0.3">
      <c r="A40" s="137"/>
      <c r="B40" s="177"/>
      <c r="C40" s="179"/>
      <c r="D40" s="192" t="s">
        <v>48</v>
      </c>
      <c r="E40" s="193">
        <f>COUNT(E34:E37)</f>
        <v>3</v>
      </c>
      <c r="F40" s="248"/>
      <c r="G40" s="137"/>
      <c r="H40" s="137"/>
    </row>
    <row r="41" spans="1:14" ht="18.75" x14ac:dyDescent="0.3">
      <c r="A41" s="182"/>
      <c r="B41" s="178"/>
      <c r="C41" s="177"/>
      <c r="D41" s="177"/>
      <c r="E41" s="177"/>
      <c r="F41" s="246"/>
      <c r="G41" s="137"/>
      <c r="H41" s="137"/>
    </row>
    <row r="43" spans="1:14" ht="18.75" x14ac:dyDescent="0.2">
      <c r="A43" s="152" t="s">
        <v>11</v>
      </c>
      <c r="B43" s="153" t="s">
        <v>49</v>
      </c>
    </row>
    <row r="44" spans="1:14" ht="18.75" x14ac:dyDescent="0.2">
      <c r="A44" s="143" t="s">
        <v>50</v>
      </c>
      <c r="B44" s="154" t="str">
        <f>B21</f>
        <v>Each Satchet contains Trisodium Citrate Dihydrate 2.9 g</v>
      </c>
    </row>
    <row r="45" spans="1:14" ht="18" customHeight="1" x14ac:dyDescent="0.2">
      <c r="A45" s="155" t="s">
        <v>51</v>
      </c>
      <c r="B45" s="180">
        <f>2.9*0.643*1000*20/100</f>
        <v>372.94</v>
      </c>
      <c r="C45" s="143" t="str">
        <f>B20</f>
        <v>CITRATE</v>
      </c>
      <c r="H45" s="156"/>
    </row>
    <row r="46" spans="1:14" ht="8.25" hidden="1" customHeight="1" x14ac:dyDescent="0.2">
      <c r="A46" s="155"/>
      <c r="B46" s="273"/>
      <c r="H46" s="156"/>
    </row>
    <row r="47" spans="1:14" ht="18.75" x14ac:dyDescent="0.2">
      <c r="A47" s="154" t="s">
        <v>52</v>
      </c>
      <c r="B47" s="274">
        <f>Uniformity!B47</f>
        <v>20.128149000000001</v>
      </c>
      <c r="H47" s="156"/>
    </row>
    <row r="48" spans="1:14" ht="3" customHeight="1" x14ac:dyDescent="0.2">
      <c r="A48" s="154"/>
      <c r="B48" s="271"/>
      <c r="H48" s="156"/>
    </row>
    <row r="49" spans="1:10" ht="26.25" customHeight="1" x14ac:dyDescent="0.4">
      <c r="A49" s="210" t="s">
        <v>53</v>
      </c>
      <c r="B49" s="210">
        <v>6.3029999999999999</v>
      </c>
      <c r="C49" s="137" t="str">
        <f>B20</f>
        <v>CITRATE</v>
      </c>
      <c r="H49" s="156"/>
    </row>
    <row r="50" spans="1:10" ht="19.5" hidden="1" customHeight="1" x14ac:dyDescent="0.3">
      <c r="A50" s="137"/>
      <c r="B50" s="137"/>
      <c r="C50" s="137"/>
      <c r="D50" s="137"/>
      <c r="H50" s="156"/>
    </row>
    <row r="51" spans="1:10" ht="19.5" customHeight="1" x14ac:dyDescent="0.3">
      <c r="C51" s="137"/>
      <c r="D51" s="137"/>
      <c r="E51" s="137"/>
      <c r="F51" s="137"/>
      <c r="G51" s="303" t="s">
        <v>54</v>
      </c>
      <c r="H51" s="304"/>
      <c r="J51" s="257"/>
    </row>
    <row r="52" spans="1:10" ht="19.5" customHeight="1" x14ac:dyDescent="0.2">
      <c r="A52" s="214" t="s">
        <v>55</v>
      </c>
      <c r="B52" s="157" t="s">
        <v>56</v>
      </c>
      <c r="C52" s="157" t="s">
        <v>57</v>
      </c>
      <c r="D52" s="157" t="s">
        <v>58</v>
      </c>
      <c r="E52" s="157" t="s">
        <v>59</v>
      </c>
      <c r="F52" s="229" t="s">
        <v>60</v>
      </c>
      <c r="G52" s="157" t="s">
        <v>61</v>
      </c>
      <c r="H52" s="157" t="s">
        <v>62</v>
      </c>
      <c r="I52" s="263" t="s">
        <v>63</v>
      </c>
      <c r="J52" s="215"/>
    </row>
    <row r="53" spans="1:10" ht="26.25" customHeight="1" x14ac:dyDescent="0.4">
      <c r="A53" s="216" t="s">
        <v>42</v>
      </c>
      <c r="B53" s="219">
        <v>2.5020899999999999</v>
      </c>
      <c r="C53" s="188">
        <v>8</v>
      </c>
      <c r="D53" s="223">
        <v>0</v>
      </c>
      <c r="E53" s="232">
        <f>IF(ISBLANK(B53),"-",C53-$D$57)</f>
        <v>8</v>
      </c>
      <c r="F53" s="234">
        <f>IF(ISBLANK(B53), "-",E53*$G$38)</f>
        <v>7.8508540427926077</v>
      </c>
      <c r="G53" s="252">
        <f>IF(ISBLANK(B53),"-",F53*$B$49)</f>
        <v>49.483933031721804</v>
      </c>
      <c r="H53" s="231">
        <f>IF(ISBLANK(B53),"-",G53*$B$47/B53)</f>
        <v>398.07520000020713</v>
      </c>
      <c r="I53" s="264">
        <f>IF(ISBLANK(B53),"-",H53/$B$45)</f>
        <v>1.0673974365855288</v>
      </c>
      <c r="J53" s="258"/>
    </row>
    <row r="54" spans="1:10" ht="26.25" customHeight="1" x14ac:dyDescent="0.4">
      <c r="A54" s="217" t="s">
        <v>43</v>
      </c>
      <c r="B54" s="220">
        <v>2.6146600000000002</v>
      </c>
      <c r="C54" s="186">
        <v>8.5</v>
      </c>
      <c r="D54" s="224">
        <v>0</v>
      </c>
      <c r="E54" s="233">
        <f>IF(ISBLANK(B54),"-",C54-$D$57)</f>
        <v>8.5</v>
      </c>
      <c r="F54" s="235">
        <f>IF(ISBLANK(B54), "-",E54*$G$38)</f>
        <v>8.3415324204671464</v>
      </c>
      <c r="G54" s="253">
        <f>IF(ISBLANK(B54),"-",F54*$B$49)</f>
        <v>52.576678846204423</v>
      </c>
      <c r="H54" s="256">
        <f>IF(ISBLANK(B54),"-",G54*$B$47/B54)</f>
        <v>404.74525396860423</v>
      </c>
      <c r="I54" s="265">
        <f>IF(ISBLANK(B54),"-",H54/$B$45)</f>
        <v>1.085282495759651</v>
      </c>
      <c r="J54" s="258"/>
    </row>
    <row r="55" spans="1:10" ht="26.25" customHeight="1" x14ac:dyDescent="0.4">
      <c r="A55" s="217" t="s">
        <v>44</v>
      </c>
      <c r="B55" s="220">
        <v>2.4548700000000001</v>
      </c>
      <c r="C55" s="186">
        <v>7.8</v>
      </c>
      <c r="D55" s="224">
        <v>0</v>
      </c>
      <c r="E55" s="233">
        <f>IF(ISBLANK(B55),"-",C55-$D$57)</f>
        <v>7.8</v>
      </c>
      <c r="F55" s="235">
        <f>IF(ISBLANK(B55), "-",E55*$G$38)</f>
        <v>7.6545826917227924</v>
      </c>
      <c r="G55" s="253">
        <f>IF(ISBLANK(B55),"-",F55*$B$49)</f>
        <v>48.246834705928762</v>
      </c>
      <c r="H55" s="256">
        <f>IF(ISBLANK(B55),"-",G55*$B$47/B55)</f>
        <v>395.5889630568239</v>
      </c>
      <c r="I55" s="265">
        <f>IF(ISBLANK(B55),"-",H55/$B$45)</f>
        <v>1.0607308496187695</v>
      </c>
      <c r="J55" s="258"/>
    </row>
    <row r="56" spans="1:10" ht="27" customHeight="1" x14ac:dyDescent="0.4">
      <c r="A56" s="218" t="s">
        <v>45</v>
      </c>
      <c r="B56" s="221"/>
      <c r="C56" s="187"/>
      <c r="D56" s="225"/>
      <c r="E56" s="237" t="str">
        <f>IF(ISBLANK(B56),"-",C56-$D$57)</f>
        <v>-</v>
      </c>
      <c r="F56" s="236" t="str">
        <f>IF(ISBLANK(B56), "-",E56*$G$38)</f>
        <v>-</v>
      </c>
      <c r="G56" s="254" t="str">
        <f>IF(ISBLANK(B56),"-",F56*$B$49)</f>
        <v>-</v>
      </c>
      <c r="H56" s="268" t="str">
        <f>IF(ISBLANK(B56),"-",G56*$B$47/B56)</f>
        <v>-</v>
      </c>
      <c r="I56" s="266" t="str">
        <f>IF(ISBLANK(B56),"-",H56/$B$45)</f>
        <v>-</v>
      </c>
      <c r="J56" s="259"/>
    </row>
    <row r="57" spans="1:10" ht="45.75" customHeight="1" x14ac:dyDescent="0.4">
      <c r="B57" s="7" t="str">
        <f>Uniformity!C46</f>
        <v>% Deviation from mean</v>
      </c>
      <c r="C57" s="189" t="s">
        <v>46</v>
      </c>
      <c r="D57" s="222">
        <f>AVERAGE(D53:D56)</f>
        <v>0</v>
      </c>
      <c r="F57" s="189" t="s">
        <v>46</v>
      </c>
      <c r="G57" s="230">
        <f>AVERAGE(G53:G56)</f>
        <v>50.102482194618325</v>
      </c>
      <c r="H57" s="230">
        <f>AVERAGE(H53:H56)</f>
        <v>399.46980567521177</v>
      </c>
      <c r="I57" s="267">
        <f>AVERAGE(I53:I56)</f>
        <v>1.0711369273213165</v>
      </c>
      <c r="J57" s="260"/>
    </row>
    <row r="58" spans="1:10" ht="26.25" customHeight="1" x14ac:dyDescent="0.4">
      <c r="C58" s="190" t="s">
        <v>47</v>
      </c>
      <c r="D58" s="191" t="str">
        <f>IF(D57=0,"-",STDEV(D53:D56)/D57)</f>
        <v>-</v>
      </c>
      <c r="F58" s="190" t="s">
        <v>47</v>
      </c>
      <c r="G58" s="255"/>
      <c r="H58" s="227">
        <f>STDEV(H53:H56)/H57</f>
        <v>1.1852652049832582E-2</v>
      </c>
      <c r="I58" s="227">
        <f>STDEV(I53:I56)/I57</f>
        <v>1.1852652049832593E-2</v>
      </c>
      <c r="J58" s="261"/>
    </row>
    <row r="59" spans="1:10" ht="27" customHeight="1" x14ac:dyDescent="0.4">
      <c r="C59" s="192" t="s">
        <v>48</v>
      </c>
      <c r="D59" s="193">
        <f>COUNT(D53:D56)</f>
        <v>3</v>
      </c>
      <c r="F59" s="192" t="s">
        <v>48</v>
      </c>
      <c r="G59" s="228">
        <f>COUNT(G53:G56)</f>
        <v>3</v>
      </c>
      <c r="H59" s="228">
        <f>COUNT(H53:H56)</f>
        <v>3</v>
      </c>
      <c r="I59" s="228">
        <f>COUNT(I53:I56)</f>
        <v>3</v>
      </c>
      <c r="J59" s="262"/>
    </row>
    <row r="60" spans="1:10" ht="18.75" x14ac:dyDescent="0.3">
      <c r="H60" s="156"/>
      <c r="J60" s="139"/>
    </row>
    <row r="61" spans="1:10" ht="18.75" x14ac:dyDescent="0.2">
      <c r="H61" s="156"/>
    </row>
    <row r="62" spans="1:10" ht="19.5" customHeight="1" x14ac:dyDescent="0.2">
      <c r="A62" s="142"/>
      <c r="B62" s="142"/>
      <c r="C62" s="161"/>
      <c r="D62" s="161"/>
      <c r="E62" s="161"/>
      <c r="F62" s="161"/>
      <c r="G62" s="161"/>
      <c r="H62" s="161"/>
    </row>
    <row r="63" spans="1:10" ht="18.75" x14ac:dyDescent="0.2">
      <c r="B63" s="292" t="s">
        <v>21</v>
      </c>
      <c r="C63" s="292"/>
      <c r="E63" s="170" t="s">
        <v>22</v>
      </c>
      <c r="F63" s="162"/>
      <c r="G63" s="292" t="s">
        <v>23</v>
      </c>
      <c r="H63" s="292"/>
    </row>
    <row r="64" spans="1:10" ht="83.25" customHeight="1" x14ac:dyDescent="0.2">
      <c r="A64" s="163" t="s">
        <v>24</v>
      </c>
      <c r="B64" s="164"/>
      <c r="C64" s="164"/>
      <c r="E64" s="165"/>
      <c r="F64" s="160"/>
      <c r="G64" s="166"/>
      <c r="H64" s="166"/>
    </row>
    <row r="65" spans="1:9" ht="84" customHeight="1" x14ac:dyDescent="0.2">
      <c r="A65" s="163" t="s">
        <v>25</v>
      </c>
      <c r="B65" s="167"/>
      <c r="C65" s="167"/>
      <c r="E65" s="168"/>
      <c r="F65" s="160"/>
      <c r="G65" s="169"/>
      <c r="H65" s="169"/>
    </row>
    <row r="66" spans="1:9" ht="18.75" x14ac:dyDescent="0.3">
      <c r="A66" s="158"/>
      <c r="B66" s="158"/>
      <c r="C66" s="151"/>
      <c r="D66" s="151"/>
      <c r="E66" s="151"/>
      <c r="F66" s="159"/>
      <c r="G66" s="151"/>
      <c r="H66" s="151"/>
      <c r="I66" s="140"/>
    </row>
    <row r="67" spans="1:9" ht="18.75" x14ac:dyDescent="0.3">
      <c r="A67" s="158"/>
      <c r="B67" s="158"/>
      <c r="C67" s="151"/>
      <c r="D67" s="151"/>
      <c r="E67" s="151"/>
      <c r="F67" s="159"/>
      <c r="G67" s="151"/>
      <c r="H67" s="151"/>
      <c r="I67" s="140"/>
    </row>
    <row r="68" spans="1:9" ht="18.75" x14ac:dyDescent="0.3">
      <c r="A68" s="158"/>
      <c r="B68" s="158"/>
      <c r="C68" s="151"/>
      <c r="D68" s="151"/>
      <c r="E68" s="151"/>
      <c r="F68" s="159"/>
      <c r="G68" s="151"/>
      <c r="H68" s="151"/>
      <c r="I68" s="140"/>
    </row>
    <row r="69" spans="1:9" ht="18.75" x14ac:dyDescent="0.3">
      <c r="A69" s="158"/>
      <c r="B69" s="158"/>
      <c r="C69" s="151"/>
      <c r="D69" s="151"/>
      <c r="E69" s="151"/>
      <c r="F69" s="159"/>
      <c r="G69" s="151"/>
      <c r="H69" s="151"/>
      <c r="I69" s="140"/>
    </row>
    <row r="70" spans="1:9" ht="18.75" x14ac:dyDescent="0.3">
      <c r="A70" s="158"/>
      <c r="B70" s="158"/>
      <c r="C70" s="151"/>
      <c r="D70" s="151"/>
      <c r="E70" s="151"/>
      <c r="F70" s="159"/>
      <c r="G70" s="151"/>
      <c r="H70" s="151"/>
      <c r="I70" s="140"/>
    </row>
    <row r="71" spans="1:9" ht="18.75" x14ac:dyDescent="0.3">
      <c r="A71" s="158"/>
      <c r="B71" s="158"/>
      <c r="C71" s="151"/>
      <c r="D71" s="151"/>
      <c r="E71" s="151"/>
      <c r="F71" s="159"/>
      <c r="G71" s="151"/>
      <c r="H71" s="151"/>
      <c r="I71" s="140"/>
    </row>
    <row r="72" spans="1:9" ht="18.75" x14ac:dyDescent="0.3">
      <c r="A72" s="158"/>
      <c r="B72" s="158"/>
      <c r="C72" s="151"/>
      <c r="D72" s="151"/>
      <c r="E72" s="151"/>
      <c r="F72" s="159"/>
      <c r="G72" s="151"/>
      <c r="H72" s="151"/>
      <c r="I72" s="140"/>
    </row>
    <row r="73" spans="1:9" ht="18.75" x14ac:dyDescent="0.3">
      <c r="A73" s="158"/>
      <c r="B73" s="158"/>
      <c r="C73" s="151"/>
      <c r="D73" s="151"/>
      <c r="E73" s="151"/>
      <c r="F73" s="159"/>
      <c r="G73" s="151"/>
      <c r="H73" s="151"/>
      <c r="I73" s="140"/>
    </row>
    <row r="74" spans="1:9" ht="18.75" x14ac:dyDescent="0.3">
      <c r="A74" s="158"/>
      <c r="B74" s="158"/>
      <c r="C74" s="151"/>
      <c r="D74" s="151"/>
      <c r="E74" s="151"/>
      <c r="F74" s="159"/>
      <c r="G74" s="151"/>
      <c r="H74" s="151"/>
      <c r="I74" s="140"/>
    </row>
    <row r="250" spans="1:1" x14ac:dyDescent="0.2">
      <c r="A250" s="7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A8:I14"/>
    <mergeCell ref="A1:I7"/>
    <mergeCell ref="B63:C63"/>
    <mergeCell ref="G63:H63"/>
    <mergeCell ref="G51:H51"/>
    <mergeCell ref="A16:H16"/>
    <mergeCell ref="A17:H17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8">
    <cfRule type="cellIs" dxfId="11" priority="3" operator="greaterThan">
      <formula>0.02</formula>
    </cfRule>
  </conditionalFormatting>
  <conditionalFormatting sqref="H58">
    <cfRule type="cellIs" dxfId="10" priority="4" operator="greaterThan">
      <formula>0.02</formula>
    </cfRule>
  </conditionalFormatting>
  <conditionalFormatting sqref="I58">
    <cfRule type="cellIs" dxfId="9" priority="5" operator="greaterThan">
      <formula>0.02</formula>
    </cfRule>
  </conditionalFormatting>
  <conditionalFormatting sqref="J58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6" orientation="landscape" r:id="rId1"/>
  <headerFooter alignWithMargins="0">
    <oddFooter>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9" zoomScale="50" zoomScaleNormal="75" zoomScaleSheetLayoutView="50" workbookViewId="0">
      <selection activeCell="B48" sqref="B48"/>
    </sheetView>
  </sheetViews>
  <sheetFormatPr defaultRowHeight="12.75" x14ac:dyDescent="0.2"/>
  <cols>
    <col min="1" max="1" width="100.42578125" style="7" customWidth="1"/>
    <col min="2" max="2" width="32.28515625" style="7" customWidth="1"/>
    <col min="3" max="3" width="33.28515625" style="7" customWidth="1"/>
    <col min="4" max="4" width="30.5703125" style="7" customWidth="1"/>
    <col min="5" max="5" width="33.5703125" style="7" customWidth="1"/>
    <col min="6" max="6" width="39.85546875" style="7" customWidth="1"/>
    <col min="7" max="7" width="31.7109375" style="7" customWidth="1"/>
    <col min="8" max="8" width="31.140625" style="7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  <col min="14" max="16384" width="9.140625" style="1"/>
  </cols>
  <sheetData>
    <row r="1" spans="1:9" x14ac:dyDescent="0.2">
      <c r="A1" s="288" t="s">
        <v>26</v>
      </c>
      <c r="B1" s="288"/>
      <c r="C1" s="288"/>
      <c r="D1" s="288"/>
      <c r="E1" s="288"/>
      <c r="F1" s="288"/>
      <c r="G1" s="288"/>
      <c r="H1" s="288"/>
      <c r="I1" s="288"/>
    </row>
    <row r="2" spans="1:9" x14ac:dyDescent="0.2">
      <c r="A2" s="288"/>
      <c r="B2" s="288"/>
      <c r="C2" s="288"/>
      <c r="D2" s="288"/>
      <c r="E2" s="288"/>
      <c r="F2" s="288"/>
      <c r="G2" s="288"/>
      <c r="H2" s="288"/>
      <c r="I2" s="288"/>
    </row>
    <row r="3" spans="1:9" x14ac:dyDescent="0.2">
      <c r="A3" s="288"/>
      <c r="B3" s="288"/>
      <c r="C3" s="288"/>
      <c r="D3" s="288"/>
      <c r="E3" s="288"/>
      <c r="F3" s="288"/>
      <c r="G3" s="288"/>
      <c r="H3" s="288"/>
      <c r="I3" s="288"/>
    </row>
    <row r="4" spans="1:9" x14ac:dyDescent="0.2">
      <c r="A4" s="288"/>
      <c r="B4" s="288"/>
      <c r="C4" s="288"/>
      <c r="D4" s="288"/>
      <c r="E4" s="288"/>
      <c r="F4" s="288"/>
      <c r="G4" s="288"/>
      <c r="H4" s="288"/>
      <c r="I4" s="288"/>
    </row>
    <row r="5" spans="1:9" x14ac:dyDescent="0.2">
      <c r="A5" s="288"/>
      <c r="B5" s="288"/>
      <c r="C5" s="288"/>
      <c r="D5" s="288"/>
      <c r="E5" s="288"/>
      <c r="F5" s="288"/>
      <c r="G5" s="288"/>
      <c r="H5" s="288"/>
      <c r="I5" s="288"/>
    </row>
    <row r="6" spans="1:9" x14ac:dyDescent="0.2">
      <c r="A6" s="288"/>
      <c r="B6" s="288"/>
      <c r="C6" s="288"/>
      <c r="D6" s="288"/>
      <c r="E6" s="288"/>
      <c r="F6" s="288"/>
      <c r="G6" s="288"/>
      <c r="H6" s="288"/>
      <c r="I6" s="288"/>
    </row>
    <row r="7" spans="1:9" x14ac:dyDescent="0.2">
      <c r="A7" s="288"/>
      <c r="B7" s="288"/>
      <c r="C7" s="288"/>
      <c r="D7" s="288"/>
      <c r="E7" s="288"/>
      <c r="F7" s="288"/>
      <c r="G7" s="288"/>
      <c r="H7" s="288"/>
      <c r="I7" s="288"/>
    </row>
    <row r="8" spans="1:9" x14ac:dyDescent="0.2">
      <c r="A8" s="289" t="s">
        <v>27</v>
      </c>
      <c r="B8" s="289"/>
      <c r="C8" s="289"/>
      <c r="D8" s="289"/>
      <c r="E8" s="289"/>
      <c r="F8" s="289"/>
      <c r="G8" s="289"/>
      <c r="H8" s="289"/>
      <c r="I8" s="289"/>
    </row>
    <row r="9" spans="1:9" x14ac:dyDescent="0.2">
      <c r="A9" s="289"/>
      <c r="B9" s="289"/>
      <c r="C9" s="289"/>
      <c r="D9" s="289"/>
      <c r="E9" s="289"/>
      <c r="F9" s="289"/>
      <c r="G9" s="289"/>
      <c r="H9" s="289"/>
      <c r="I9" s="289"/>
    </row>
    <row r="10" spans="1:9" x14ac:dyDescent="0.2">
      <c r="A10" s="289"/>
      <c r="B10" s="289"/>
      <c r="C10" s="289"/>
      <c r="D10" s="289"/>
      <c r="E10" s="289"/>
      <c r="F10" s="289"/>
      <c r="G10" s="289"/>
      <c r="H10" s="289"/>
      <c r="I10" s="289"/>
    </row>
    <row r="11" spans="1:9" x14ac:dyDescent="0.2">
      <c r="A11" s="289"/>
      <c r="B11" s="289"/>
      <c r="C11" s="289"/>
      <c r="D11" s="289"/>
      <c r="E11" s="289"/>
      <c r="F11" s="289"/>
      <c r="G11" s="289"/>
      <c r="H11" s="289"/>
      <c r="I11" s="289"/>
    </row>
    <row r="12" spans="1:9" x14ac:dyDescent="0.2">
      <c r="A12" s="289"/>
      <c r="B12" s="289"/>
      <c r="C12" s="289"/>
      <c r="D12" s="289"/>
      <c r="E12" s="289"/>
      <c r="F12" s="289"/>
      <c r="G12" s="289"/>
      <c r="H12" s="289"/>
      <c r="I12" s="289"/>
    </row>
    <row r="13" spans="1:9" x14ac:dyDescent="0.2">
      <c r="A13" s="289"/>
      <c r="B13" s="289"/>
      <c r="C13" s="289"/>
      <c r="D13" s="289"/>
      <c r="E13" s="289"/>
      <c r="F13" s="289"/>
      <c r="G13" s="289"/>
      <c r="H13" s="289"/>
      <c r="I13" s="289"/>
    </row>
    <row r="14" spans="1:9" x14ac:dyDescent="0.2">
      <c r="A14" s="289"/>
      <c r="B14" s="289"/>
      <c r="C14" s="289"/>
      <c r="D14" s="289"/>
      <c r="E14" s="289"/>
      <c r="F14" s="289"/>
      <c r="G14" s="289"/>
      <c r="H14" s="289"/>
      <c r="I14" s="289"/>
    </row>
    <row r="15" spans="1:9" ht="19.5" customHeight="1" thickBot="1" x14ac:dyDescent="0.25"/>
    <row r="16" spans="1:9" ht="19.5" customHeight="1" thickBot="1" x14ac:dyDescent="0.25">
      <c r="A16" s="305" t="s">
        <v>0</v>
      </c>
      <c r="B16" s="306"/>
      <c r="C16" s="306"/>
      <c r="D16" s="306"/>
      <c r="E16" s="306"/>
      <c r="F16" s="306"/>
      <c r="G16" s="306"/>
      <c r="H16" s="307"/>
    </row>
    <row r="17" spans="1:14" ht="18.75" x14ac:dyDescent="0.2">
      <c r="A17" s="308" t="s">
        <v>28</v>
      </c>
      <c r="B17" s="308"/>
      <c r="C17" s="308"/>
      <c r="D17" s="308"/>
      <c r="E17" s="308"/>
      <c r="F17" s="308"/>
      <c r="G17" s="308"/>
      <c r="H17" s="308"/>
    </row>
    <row r="18" spans="1:14" ht="18.75" x14ac:dyDescent="0.2">
      <c r="A18" s="144" t="s">
        <v>2</v>
      </c>
      <c r="B18" s="174" t="s">
        <v>93</v>
      </c>
      <c r="C18" s="174"/>
      <c r="D18" s="174"/>
      <c r="E18" s="174"/>
    </row>
    <row r="19" spans="1:14" ht="18.75" x14ac:dyDescent="0.2">
      <c r="A19" s="144" t="s">
        <v>4</v>
      </c>
      <c r="B19" s="175" t="s">
        <v>5</v>
      </c>
      <c r="C19" s="272">
        <v>16</v>
      </c>
    </row>
    <row r="20" spans="1:14" ht="18.75" x14ac:dyDescent="0.2">
      <c r="A20" s="144" t="s">
        <v>6</v>
      </c>
      <c r="B20" s="175" t="s">
        <v>98</v>
      </c>
    </row>
    <row r="21" spans="1:14" ht="18.75" x14ac:dyDescent="0.3">
      <c r="A21" s="144" t="s">
        <v>8</v>
      </c>
      <c r="B21" s="145" t="s">
        <v>95</v>
      </c>
      <c r="C21" s="145"/>
      <c r="D21" s="145"/>
      <c r="E21" s="145"/>
      <c r="F21" s="145"/>
      <c r="G21" s="145"/>
      <c r="H21" s="145"/>
      <c r="I21" s="141"/>
    </row>
    <row r="22" spans="1:14" ht="18.75" x14ac:dyDescent="0.2">
      <c r="A22" s="144" t="s">
        <v>9</v>
      </c>
      <c r="B22" s="176"/>
    </row>
    <row r="23" spans="1:14" ht="18.75" x14ac:dyDescent="0.2">
      <c r="A23" s="144" t="s">
        <v>10</v>
      </c>
      <c r="B23" s="176"/>
    </row>
    <row r="24" spans="1:14" ht="18.75" x14ac:dyDescent="0.2">
      <c r="A24" s="144"/>
      <c r="B24" s="146"/>
    </row>
    <row r="25" spans="1:14" ht="18.75" x14ac:dyDescent="0.2">
      <c r="A25" s="147" t="s">
        <v>11</v>
      </c>
      <c r="B25" s="153" t="s">
        <v>29</v>
      </c>
    </row>
    <row r="26" spans="1:14" s="38" customFormat="1" ht="18.75" x14ac:dyDescent="0.3">
      <c r="A26" s="238"/>
      <c r="B26" s="276"/>
      <c r="C26" s="181"/>
      <c r="D26" s="181"/>
      <c r="E26" s="181"/>
      <c r="F26" s="181"/>
      <c r="G26" s="181"/>
      <c r="H26" s="181"/>
      <c r="I26" s="172"/>
      <c r="J26" s="172"/>
      <c r="K26" s="172"/>
      <c r="L26" s="172"/>
      <c r="M26" s="172"/>
      <c r="N26" s="195"/>
    </row>
    <row r="27" spans="1:14" s="38" customFormat="1" ht="26.25" customHeight="1" x14ac:dyDescent="0.4">
      <c r="A27" s="184" t="s">
        <v>30</v>
      </c>
      <c r="B27" s="212" t="s">
        <v>96</v>
      </c>
      <c r="C27" s="210"/>
      <c r="D27" s="195"/>
      <c r="E27" s="195"/>
      <c r="F27" s="195"/>
      <c r="G27" s="195"/>
      <c r="H27" s="181"/>
      <c r="I27" s="172"/>
      <c r="J27" s="172"/>
      <c r="K27" s="172"/>
      <c r="L27" s="172"/>
      <c r="M27" s="172"/>
      <c r="N27" s="195"/>
    </row>
    <row r="28" spans="1:14" s="38" customFormat="1" ht="26.25" customHeight="1" x14ac:dyDescent="0.4">
      <c r="A28" s="150" t="s">
        <v>31</v>
      </c>
      <c r="B28" s="210">
        <v>58.44</v>
      </c>
      <c r="C28" s="211"/>
      <c r="D28" s="183"/>
      <c r="E28" s="183"/>
      <c r="F28" s="183"/>
      <c r="G28" s="183"/>
      <c r="H28" s="181"/>
      <c r="I28" s="172"/>
      <c r="J28" s="172"/>
      <c r="K28" s="172"/>
      <c r="L28" s="172"/>
      <c r="M28" s="172"/>
      <c r="N28" s="195"/>
    </row>
    <row r="29" spans="1:14" s="38" customFormat="1" ht="26.25" customHeight="1" x14ac:dyDescent="0.4">
      <c r="A29" s="238" t="s">
        <v>32</v>
      </c>
      <c r="B29" s="239">
        <v>0.1</v>
      </c>
      <c r="C29" s="211"/>
      <c r="D29" s="183"/>
      <c r="E29" s="183"/>
      <c r="F29" s="183"/>
      <c r="G29" s="183"/>
      <c r="H29" s="181"/>
      <c r="I29" s="172"/>
      <c r="J29" s="172"/>
      <c r="K29" s="172"/>
      <c r="L29" s="172"/>
      <c r="M29" s="172"/>
      <c r="N29" s="195"/>
    </row>
    <row r="30" spans="1:14" s="38" customFormat="1" ht="18.75" x14ac:dyDescent="0.3">
      <c r="A30" s="201" t="s">
        <v>33</v>
      </c>
      <c r="B30" s="196">
        <v>1</v>
      </c>
      <c r="C30" s="197" t="s">
        <v>34</v>
      </c>
      <c r="D30" s="196">
        <v>1</v>
      </c>
      <c r="F30" s="181"/>
      <c r="G30" s="181"/>
      <c r="H30" s="181"/>
      <c r="I30" s="172"/>
      <c r="J30" s="172"/>
      <c r="K30" s="172"/>
      <c r="L30" s="172"/>
      <c r="M30" s="172"/>
      <c r="N30" s="195"/>
    </row>
    <row r="31" spans="1:14" s="38" customFormat="1" ht="18.75" x14ac:dyDescent="0.3">
      <c r="A31" s="238"/>
      <c r="B31" s="276"/>
      <c r="C31" s="181"/>
      <c r="D31" s="181"/>
      <c r="E31" s="181"/>
      <c r="F31" s="181"/>
      <c r="G31" s="181"/>
      <c r="H31" s="181"/>
      <c r="I31" s="172"/>
      <c r="J31" s="172"/>
      <c r="K31" s="172"/>
      <c r="L31" s="172"/>
      <c r="M31" s="172"/>
      <c r="N31" s="195"/>
    </row>
    <row r="32" spans="1:14" s="38" customFormat="1" ht="19.5" customHeight="1" thickBot="1" x14ac:dyDescent="0.35">
      <c r="A32" s="238"/>
      <c r="B32" s="276"/>
      <c r="C32" s="181"/>
      <c r="D32" s="181"/>
      <c r="E32" s="181"/>
      <c r="F32" s="181"/>
      <c r="G32" s="181"/>
      <c r="H32" s="181"/>
      <c r="I32" s="172"/>
      <c r="J32" s="172"/>
      <c r="K32" s="172"/>
      <c r="L32" s="172"/>
      <c r="M32" s="172"/>
      <c r="N32" s="195"/>
    </row>
    <row r="33" spans="1:14" s="38" customFormat="1" ht="19.5" customHeight="1" thickBot="1" x14ac:dyDescent="0.35">
      <c r="A33" s="157" t="s">
        <v>35</v>
      </c>
      <c r="B33" s="157" t="s">
        <v>36</v>
      </c>
      <c r="C33" s="205" t="s">
        <v>37</v>
      </c>
      <c r="D33" s="157" t="s">
        <v>38</v>
      </c>
      <c r="E33" s="213" t="s">
        <v>39</v>
      </c>
      <c r="F33" s="213" t="s">
        <v>40</v>
      </c>
      <c r="G33" s="157" t="s">
        <v>41</v>
      </c>
      <c r="J33" s="172"/>
      <c r="K33" s="172"/>
      <c r="L33" s="172"/>
      <c r="M33" s="172"/>
      <c r="N33" s="195"/>
    </row>
    <row r="34" spans="1:14" s="38" customFormat="1" ht="26.25" customHeight="1" x14ac:dyDescent="0.4">
      <c r="A34" s="198" t="s">
        <v>42</v>
      </c>
      <c r="B34" s="202">
        <v>47.28</v>
      </c>
      <c r="C34" s="206">
        <f>IF(ISBLANK(B34), "-",B34/$B$28*($B$30/$D$30))</f>
        <v>0.80903490759753593</v>
      </c>
      <c r="D34" s="202">
        <v>8.35</v>
      </c>
      <c r="E34" s="240">
        <f>IF(ISBLANK(B34), "-",C34/D34)</f>
        <v>9.6890408095513289E-2</v>
      </c>
      <c r="F34" s="264">
        <f>IF(ISBLANK(B34), "-",(E34-$B$29)/$B$29)</f>
        <v>-3.1095919044867165E-2</v>
      </c>
      <c r="G34" s="243">
        <f>IF(ISBLANK(B34),"-",E34/$B$29)</f>
        <v>0.96890408095513281</v>
      </c>
      <c r="J34" s="172"/>
      <c r="K34" s="172"/>
      <c r="L34" s="172"/>
      <c r="M34" s="172"/>
      <c r="N34" s="195"/>
    </row>
    <row r="35" spans="1:14" s="38" customFormat="1" ht="26.25" customHeight="1" x14ac:dyDescent="0.4">
      <c r="A35" s="199" t="s">
        <v>43</v>
      </c>
      <c r="B35" s="203">
        <v>54.23</v>
      </c>
      <c r="C35" s="207">
        <f>IF(ISBLANK(B35), "-",B35/$B$28*($B$30/$D$30))</f>
        <v>0.92796030116358652</v>
      </c>
      <c r="D35" s="203">
        <v>9.6929999999999996</v>
      </c>
      <c r="E35" s="241">
        <f>IF(ISBLANK(B35), "-",C35/D35)</f>
        <v>9.5735097613080217E-2</v>
      </c>
      <c r="F35" s="265">
        <f>IF(ISBLANK(B35), "-",(E35-$B$29)/$B$29)</f>
        <v>-4.2649023869197888E-2</v>
      </c>
      <c r="G35" s="244">
        <f>IF(ISBLANK(B35),"-",E35/$B$29)</f>
        <v>0.95735097613080211</v>
      </c>
      <c r="J35" s="172"/>
      <c r="K35" s="172"/>
      <c r="L35" s="172"/>
      <c r="M35" s="172"/>
      <c r="N35" s="195"/>
    </row>
    <row r="36" spans="1:14" s="38" customFormat="1" ht="26.25" customHeight="1" x14ac:dyDescent="0.4">
      <c r="A36" s="199" t="s">
        <v>44</v>
      </c>
      <c r="B36" s="203">
        <v>54.79</v>
      </c>
      <c r="C36" s="207">
        <f>IF(ISBLANK(B36), "-",B36/$B$28*($B$30/$D$30))</f>
        <v>0.93754277891854898</v>
      </c>
      <c r="D36" s="203">
        <v>9.65</v>
      </c>
      <c r="E36" s="241">
        <f>IF(ISBLANK(B36), "-",C36/D36)</f>
        <v>9.7154692115911809E-2</v>
      </c>
      <c r="F36" s="265">
        <f>IF(ISBLANK(B36), "-",(E36-$B$29)/$B$29)</f>
        <v>-2.8453078840881968E-2</v>
      </c>
      <c r="G36" s="244">
        <f>IF(ISBLANK(B36),"-",E36/$B$29)</f>
        <v>0.971546921159118</v>
      </c>
      <c r="J36" s="172"/>
      <c r="K36" s="172"/>
      <c r="L36" s="172"/>
      <c r="M36" s="172"/>
      <c r="N36" s="195"/>
    </row>
    <row r="37" spans="1:14" s="38" customFormat="1" ht="27" customHeight="1" thickBot="1" x14ac:dyDescent="0.45">
      <c r="A37" s="200" t="s">
        <v>45</v>
      </c>
      <c r="B37" s="204"/>
      <c r="C37" s="208" t="str">
        <f>IF(ISBLANK(B37), "-",B37/$B$28*($B$30/$D$30))</f>
        <v>-</v>
      </c>
      <c r="D37" s="204"/>
      <c r="E37" s="242" t="str">
        <f>IF(ISBLANK(B37), "-",C37/D37)</f>
        <v>-</v>
      </c>
      <c r="F37" s="266" t="str">
        <f>IF(ISBLANK(B37), "-",(E37-$B$29)/$B$29)</f>
        <v>-</v>
      </c>
      <c r="G37" s="245" t="str">
        <f>IF(ISBLANK(B37),"-",E37/$B$29)</f>
        <v>-</v>
      </c>
      <c r="J37" s="172"/>
      <c r="K37" s="172"/>
      <c r="L37" s="172"/>
      <c r="M37" s="172"/>
      <c r="N37" s="195"/>
    </row>
    <row r="38" spans="1:14" ht="19.5" customHeight="1" thickBot="1" x14ac:dyDescent="0.35">
      <c r="A38" s="195"/>
      <c r="B38" s="195"/>
      <c r="C38" s="195"/>
      <c r="D38" s="226" t="s">
        <v>46</v>
      </c>
      <c r="E38" s="194">
        <f>AVERAGE(E34:E37)</f>
        <v>9.6593399274835109E-2</v>
      </c>
      <c r="F38" s="270">
        <f>AVERAGE(F34:F37)</f>
        <v>-3.406600725164901E-2</v>
      </c>
      <c r="G38" s="269">
        <f>AVERAGE(G34:G37)</f>
        <v>0.9659339927483509</v>
      </c>
      <c r="H38" s="195"/>
      <c r="L38" s="172"/>
      <c r="M38" s="172"/>
      <c r="N38" s="195"/>
    </row>
    <row r="39" spans="1:14" ht="18.75" x14ac:dyDescent="0.3">
      <c r="A39" s="195"/>
      <c r="B39" s="177"/>
      <c r="C39" s="179"/>
      <c r="D39" s="190" t="s">
        <v>47</v>
      </c>
      <c r="E39" s="191">
        <f>STDEV(E34:E37)/E38</f>
        <v>7.8159113057470406E-3</v>
      </c>
      <c r="F39" s="247"/>
      <c r="G39" s="195"/>
      <c r="H39" s="195"/>
    </row>
    <row r="40" spans="1:14" ht="19.5" customHeight="1" thickBot="1" x14ac:dyDescent="0.35">
      <c r="A40" s="195"/>
      <c r="B40" s="177"/>
      <c r="C40" s="179"/>
      <c r="D40" s="192" t="s">
        <v>48</v>
      </c>
      <c r="E40" s="193">
        <f>COUNT(E34:E37)</f>
        <v>3</v>
      </c>
      <c r="F40" s="259"/>
      <c r="G40" s="195"/>
      <c r="H40" s="195"/>
    </row>
    <row r="41" spans="1:14" ht="18.75" x14ac:dyDescent="0.3">
      <c r="A41" s="182"/>
      <c r="B41" s="178"/>
      <c r="C41" s="177"/>
      <c r="D41" s="177"/>
      <c r="E41" s="177"/>
      <c r="F41" s="246"/>
      <c r="G41" s="195"/>
      <c r="H41" s="195"/>
    </row>
    <row r="43" spans="1:14" ht="18.75" x14ac:dyDescent="0.2">
      <c r="A43" s="152" t="s">
        <v>11</v>
      </c>
      <c r="B43" s="153" t="s">
        <v>49</v>
      </c>
    </row>
    <row r="44" spans="1:14" ht="18.75" x14ac:dyDescent="0.2">
      <c r="A44" s="181" t="s">
        <v>50</v>
      </c>
      <c r="B44" s="155" t="str">
        <f>B21</f>
        <v>Each Satchet contains Trisodium Citrate Dihydrate 2.9 g</v>
      </c>
    </row>
    <row r="45" spans="1:14" ht="18" customHeight="1" x14ac:dyDescent="0.2">
      <c r="A45" s="155" t="s">
        <v>51</v>
      </c>
      <c r="B45" s="180">
        <f>((2.6*0.6066)+(1.51*0.4756))*1000</f>
        <v>2295.3160000000003</v>
      </c>
      <c r="C45" s="181" t="str">
        <f>B20</f>
        <v>chloride</v>
      </c>
      <c r="H45" s="158"/>
    </row>
    <row r="46" spans="1:14" ht="8.25" hidden="1" customHeight="1" x14ac:dyDescent="0.2">
      <c r="A46" s="155"/>
      <c r="B46" s="273"/>
      <c r="H46" s="158"/>
    </row>
    <row r="47" spans="1:14" ht="18.75" x14ac:dyDescent="0.2">
      <c r="A47" s="155" t="s">
        <v>52</v>
      </c>
      <c r="B47" s="274">
        <f>Uniformity!B47</f>
        <v>20.128149000000001</v>
      </c>
      <c r="H47" s="158"/>
    </row>
    <row r="48" spans="1:14" ht="3" customHeight="1" x14ac:dyDescent="0.2">
      <c r="A48" s="155"/>
      <c r="B48" s="271"/>
      <c r="H48" s="158"/>
    </row>
    <row r="49" spans="1:10" ht="26.25" customHeight="1" thickBot="1" x14ac:dyDescent="0.45">
      <c r="A49" s="210" t="s">
        <v>97</v>
      </c>
      <c r="B49" s="210">
        <f>3.545</f>
        <v>3.5449999999999999</v>
      </c>
      <c r="C49" s="195" t="str">
        <f>B20</f>
        <v>chloride</v>
      </c>
      <c r="H49" s="158"/>
    </row>
    <row r="50" spans="1:10" ht="19.5" hidden="1" customHeight="1" x14ac:dyDescent="0.3">
      <c r="A50" s="195"/>
      <c r="B50" s="195"/>
      <c r="C50" s="195"/>
      <c r="D50" s="195"/>
      <c r="H50" s="158"/>
    </row>
    <row r="51" spans="1:10" ht="19.5" customHeight="1" thickBot="1" x14ac:dyDescent="0.35">
      <c r="C51" s="195"/>
      <c r="D51" s="195"/>
      <c r="E51" s="195"/>
      <c r="F51" s="195"/>
      <c r="G51" s="303" t="s">
        <v>54</v>
      </c>
      <c r="H51" s="304"/>
      <c r="J51" s="257"/>
    </row>
    <row r="52" spans="1:10" ht="19.5" customHeight="1" thickBot="1" x14ac:dyDescent="0.25">
      <c r="A52" s="214" t="s">
        <v>55</v>
      </c>
      <c r="B52" s="157" t="s">
        <v>56</v>
      </c>
      <c r="C52" s="157" t="s">
        <v>57</v>
      </c>
      <c r="D52" s="157" t="s">
        <v>58</v>
      </c>
      <c r="E52" s="157" t="s">
        <v>59</v>
      </c>
      <c r="F52" s="229" t="s">
        <v>60</v>
      </c>
      <c r="G52" s="157" t="s">
        <v>61</v>
      </c>
      <c r="H52" s="157" t="s">
        <v>62</v>
      </c>
      <c r="I52" s="263" t="s">
        <v>63</v>
      </c>
      <c r="J52" s="215"/>
    </row>
    <row r="53" spans="1:10" ht="26.25" customHeight="1" x14ac:dyDescent="0.4">
      <c r="A53" s="216" t="s">
        <v>42</v>
      </c>
      <c r="B53" s="219">
        <f>4.3318*50/500</f>
        <v>0.43318000000000001</v>
      </c>
      <c r="C53" s="188">
        <v>13.762</v>
      </c>
      <c r="D53" s="223">
        <v>0</v>
      </c>
      <c r="E53" s="232">
        <f>IF(ISBLANK(B53),"-",C53-$D$57)</f>
        <v>13.762</v>
      </c>
      <c r="F53" s="234">
        <f>IF(ISBLANK(B53), "-",E53*$G$38)</f>
        <v>13.293183608202806</v>
      </c>
      <c r="G53" s="252">
        <f>IF(ISBLANK(B53),"-",F53*$B$49)</f>
        <v>47.12433589107895</v>
      </c>
      <c r="H53" s="231">
        <f>IF(ISBLANK(B53),"-",G53*$B$47/B53)</f>
        <v>2189.6801660780388</v>
      </c>
      <c r="I53" s="264">
        <f>IF(ISBLANK(B53),"-",H53/$B$45)</f>
        <v>0.95397765104152921</v>
      </c>
      <c r="J53" s="258"/>
    </row>
    <row r="54" spans="1:10" ht="26.25" customHeight="1" x14ac:dyDescent="0.4">
      <c r="A54" s="217" t="s">
        <v>43</v>
      </c>
      <c r="B54" s="220">
        <f>4.1446*50/500</f>
        <v>0.41446</v>
      </c>
      <c r="C54" s="186">
        <v>12.628</v>
      </c>
      <c r="D54" s="224">
        <v>0</v>
      </c>
      <c r="E54" s="233">
        <f>IF(ISBLANK(B54),"-",C54-$D$57)</f>
        <v>12.628</v>
      </c>
      <c r="F54" s="235">
        <f>IF(ISBLANK(B54), "-",E54*$G$38)</f>
        <v>12.197814460426175</v>
      </c>
      <c r="G54" s="253">
        <f>IF(ISBLANK(B54),"-",F54*$B$49)</f>
        <v>43.241252262210786</v>
      </c>
      <c r="H54" s="256">
        <f>IF(ISBLANK(B54),"-",G54*$B$47/B54)</f>
        <v>2100.0008890613467</v>
      </c>
      <c r="I54" s="265">
        <f>IF(ISBLANK(B54),"-",H54/$B$45)</f>
        <v>0.91490709299344686</v>
      </c>
      <c r="J54" s="258"/>
    </row>
    <row r="55" spans="1:10" ht="26.25" customHeight="1" x14ac:dyDescent="0.4">
      <c r="A55" s="217" t="s">
        <v>44</v>
      </c>
      <c r="B55" s="220">
        <f>4.7341*50/500</f>
        <v>0.47340999999999994</v>
      </c>
      <c r="C55" s="186">
        <v>14.750999999999999</v>
      </c>
      <c r="D55" s="224">
        <v>0</v>
      </c>
      <c r="E55" s="233">
        <f>IF(ISBLANK(B55),"-",C55-$D$57)</f>
        <v>14.750999999999999</v>
      </c>
      <c r="F55" s="235">
        <f>IF(ISBLANK(B55), "-",E55*$G$38)</f>
        <v>14.248492327030924</v>
      </c>
      <c r="G55" s="253">
        <f>IF(ISBLANK(B55),"-",F55*$B$49)</f>
        <v>50.510905299324627</v>
      </c>
      <c r="H55" s="256">
        <f>IF(ISBLANK(B55),"-",G55*$B$47/B55)</f>
        <v>2147.5909422903951</v>
      </c>
      <c r="I55" s="265">
        <f>IF(ISBLANK(B55),"-",H55/$B$45)</f>
        <v>0.93564064481334808</v>
      </c>
      <c r="J55" s="258"/>
    </row>
    <row r="56" spans="1:10" ht="27" customHeight="1" thickBot="1" x14ac:dyDescent="0.45">
      <c r="A56" s="218" t="s">
        <v>45</v>
      </c>
      <c r="B56" s="221"/>
      <c r="C56" s="187"/>
      <c r="D56" s="225"/>
      <c r="E56" s="237" t="str">
        <f>IF(ISBLANK(B56),"-",C56-$D$57)</f>
        <v>-</v>
      </c>
      <c r="F56" s="236" t="str">
        <f>IF(ISBLANK(B56), "-",E56*$G$38)</f>
        <v>-</v>
      </c>
      <c r="G56" s="254" t="str">
        <f>IF(ISBLANK(B56),"-",F56*$B$49)</f>
        <v>-</v>
      </c>
      <c r="H56" s="268" t="str">
        <f>IF(ISBLANK(B56),"-",G56*$B$47/B56)</f>
        <v>-</v>
      </c>
      <c r="I56" s="266" t="str">
        <f>IF(ISBLANK(B56),"-",H56/$B$45)</f>
        <v>-</v>
      </c>
      <c r="J56" s="259"/>
    </row>
    <row r="57" spans="1:10" ht="45.75" customHeight="1" x14ac:dyDescent="0.4">
      <c r="B57" s="7" t="str">
        <f>Uniformity!C46</f>
        <v>% Deviation from mean</v>
      </c>
      <c r="C57" s="189" t="s">
        <v>46</v>
      </c>
      <c r="D57" s="222">
        <f>AVERAGE(D53:D56)</f>
        <v>0</v>
      </c>
      <c r="F57" s="189" t="s">
        <v>46</v>
      </c>
      <c r="G57" s="230">
        <f>AVERAGE(G53:G56)</f>
        <v>46.958831150871454</v>
      </c>
      <c r="H57" s="230">
        <f>AVERAGE(H53:H56)</f>
        <v>2145.7573324765935</v>
      </c>
      <c r="I57" s="267">
        <f>AVERAGE(I53:I56)</f>
        <v>0.93484179628277475</v>
      </c>
      <c r="J57" s="260"/>
    </row>
    <row r="58" spans="1:10" ht="26.25" customHeight="1" x14ac:dyDescent="0.4">
      <c r="C58" s="190" t="s">
        <v>47</v>
      </c>
      <c r="D58" s="191" t="str">
        <f>IF(D57=0,"-",STDEV(D53:D56)/D57)</f>
        <v>-</v>
      </c>
      <c r="F58" s="190" t="s">
        <v>47</v>
      </c>
      <c r="G58" s="255"/>
      <c r="H58" s="227">
        <f>STDEV(H53:H56)/H57</f>
        <v>2.0909982190115039E-2</v>
      </c>
      <c r="I58" s="227">
        <f>STDEV(I53:I56)/I57</f>
        <v>2.0909982190115053E-2</v>
      </c>
      <c r="J58" s="261"/>
    </row>
    <row r="59" spans="1:10" ht="27" customHeight="1" thickBot="1" x14ac:dyDescent="0.45">
      <c r="C59" s="192" t="s">
        <v>48</v>
      </c>
      <c r="D59" s="193">
        <f>COUNT(D53:D56)</f>
        <v>3</v>
      </c>
      <c r="F59" s="192" t="s">
        <v>48</v>
      </c>
      <c r="G59" s="228">
        <f>COUNT(G53:G56)</f>
        <v>3</v>
      </c>
      <c r="H59" s="228">
        <f>COUNT(H53:H56)</f>
        <v>3</v>
      </c>
      <c r="I59" s="228">
        <f>COUNT(I53:I56)</f>
        <v>3</v>
      </c>
      <c r="J59" s="262"/>
    </row>
    <row r="60" spans="1:10" ht="18.75" x14ac:dyDescent="0.3">
      <c r="H60" s="158"/>
      <c r="J60" s="195"/>
    </row>
    <row r="61" spans="1:10" ht="18.75" x14ac:dyDescent="0.2">
      <c r="H61" s="158"/>
    </row>
    <row r="62" spans="1:10" ht="19.5" customHeight="1" thickBot="1" x14ac:dyDescent="0.25">
      <c r="A62" s="142"/>
      <c r="B62" s="142"/>
      <c r="C62" s="161"/>
      <c r="D62" s="161"/>
      <c r="E62" s="161"/>
      <c r="F62" s="161"/>
      <c r="G62" s="161"/>
      <c r="H62" s="161"/>
    </row>
    <row r="63" spans="1:10" ht="18.75" x14ac:dyDescent="0.2">
      <c r="B63" s="292" t="s">
        <v>21</v>
      </c>
      <c r="C63" s="292"/>
      <c r="E63" s="275" t="s">
        <v>22</v>
      </c>
      <c r="F63" s="162"/>
      <c r="G63" s="292" t="s">
        <v>23</v>
      </c>
      <c r="H63" s="292"/>
    </row>
    <row r="64" spans="1:10" ht="83.25" customHeight="1" x14ac:dyDescent="0.2">
      <c r="A64" s="163" t="s">
        <v>24</v>
      </c>
      <c r="B64" s="164"/>
      <c r="C64" s="164"/>
      <c r="E64" s="166"/>
      <c r="F64" s="181"/>
      <c r="G64" s="166"/>
      <c r="H64" s="166"/>
    </row>
    <row r="65" spans="1:9" ht="84" customHeight="1" x14ac:dyDescent="0.2">
      <c r="A65" s="163" t="s">
        <v>25</v>
      </c>
      <c r="B65" s="167"/>
      <c r="C65" s="167"/>
      <c r="E65" s="168"/>
      <c r="F65" s="181"/>
      <c r="G65" s="169"/>
      <c r="H65" s="169"/>
    </row>
    <row r="66" spans="1:9" ht="18.75" x14ac:dyDescent="0.3">
      <c r="A66" s="158"/>
      <c r="B66" s="158"/>
      <c r="C66" s="158"/>
      <c r="D66" s="158"/>
      <c r="E66" s="158"/>
      <c r="F66" s="159"/>
      <c r="G66" s="158"/>
      <c r="H66" s="158"/>
      <c r="I66" s="195"/>
    </row>
    <row r="67" spans="1:9" ht="18.75" x14ac:dyDescent="0.3">
      <c r="A67" s="158"/>
      <c r="B67" s="158"/>
      <c r="C67" s="158"/>
      <c r="D67" s="158"/>
      <c r="E67" s="158"/>
      <c r="F67" s="159"/>
      <c r="G67" s="158"/>
      <c r="H67" s="158"/>
      <c r="I67" s="195"/>
    </row>
    <row r="68" spans="1:9" ht="18.75" x14ac:dyDescent="0.3">
      <c r="A68" s="158"/>
      <c r="B68" s="158"/>
      <c r="C68" s="158"/>
      <c r="D68" s="158"/>
      <c r="E68" s="158"/>
      <c r="F68" s="159"/>
      <c r="G68" s="158"/>
      <c r="H68" s="158"/>
      <c r="I68" s="195"/>
    </row>
    <row r="69" spans="1:9" ht="18.75" x14ac:dyDescent="0.3">
      <c r="A69" s="158"/>
      <c r="B69" s="158"/>
      <c r="C69" s="158"/>
      <c r="D69" s="158"/>
      <c r="E69" s="158"/>
      <c r="F69" s="159"/>
      <c r="G69" s="158"/>
      <c r="H69" s="158"/>
      <c r="I69" s="195"/>
    </row>
    <row r="70" spans="1:9" ht="18.75" x14ac:dyDescent="0.3">
      <c r="A70" s="158"/>
      <c r="B70" s="158"/>
      <c r="C70" s="158"/>
      <c r="D70" s="158"/>
      <c r="E70" s="158"/>
      <c r="F70" s="159"/>
      <c r="G70" s="158"/>
      <c r="H70" s="158"/>
      <c r="I70" s="195"/>
    </row>
    <row r="71" spans="1:9" ht="18.75" x14ac:dyDescent="0.3">
      <c r="A71" s="158"/>
      <c r="B71" s="158"/>
      <c r="C71" s="158"/>
      <c r="D71" s="158"/>
      <c r="E71" s="158"/>
      <c r="F71" s="159"/>
      <c r="G71" s="158"/>
      <c r="H71" s="158"/>
      <c r="I71" s="195"/>
    </row>
    <row r="72" spans="1:9" ht="18.75" x14ac:dyDescent="0.3">
      <c r="A72" s="158"/>
      <c r="B72" s="158"/>
      <c r="C72" s="158"/>
      <c r="D72" s="158"/>
      <c r="E72" s="158"/>
      <c r="F72" s="159"/>
      <c r="G72" s="158"/>
      <c r="H72" s="158"/>
      <c r="I72" s="195"/>
    </row>
    <row r="73" spans="1:9" ht="18.75" x14ac:dyDescent="0.3">
      <c r="A73" s="158"/>
      <c r="B73" s="158"/>
      <c r="C73" s="158"/>
      <c r="D73" s="158"/>
      <c r="E73" s="158"/>
      <c r="F73" s="159"/>
      <c r="G73" s="158"/>
      <c r="H73" s="158"/>
      <c r="I73" s="195"/>
    </row>
    <row r="74" spans="1:9" ht="18.75" x14ac:dyDescent="0.3">
      <c r="A74" s="158"/>
      <c r="B74" s="158"/>
      <c r="C74" s="158"/>
      <c r="D74" s="158"/>
      <c r="E74" s="158"/>
      <c r="F74" s="159"/>
      <c r="G74" s="158"/>
      <c r="H74" s="158"/>
      <c r="I74" s="195"/>
    </row>
    <row r="250" spans="1:1" x14ac:dyDescent="0.2">
      <c r="A250" s="7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B63:C63"/>
    <mergeCell ref="G63:H63"/>
    <mergeCell ref="A1:I7"/>
    <mergeCell ref="A8:I14"/>
    <mergeCell ref="A16:H16"/>
    <mergeCell ref="A17:H17"/>
    <mergeCell ref="G51:H51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8">
    <cfRule type="cellIs" dxfId="4" priority="3" operator="greaterThan">
      <formula>0.02</formula>
    </cfRule>
  </conditionalFormatting>
  <conditionalFormatting sqref="H58">
    <cfRule type="cellIs" dxfId="3" priority="4" operator="greaterThan">
      <formula>0.02</formula>
    </cfRule>
  </conditionalFormatting>
  <conditionalFormatting sqref="I58">
    <cfRule type="cellIs" dxfId="2" priority="5" operator="greaterThan">
      <formula>0.02</formula>
    </cfRule>
  </conditionalFormatting>
  <conditionalFormatting sqref="J58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6" orientation="landscape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Uniformity</vt:lpstr>
      <vt:lpstr>Glucose anhydrous</vt:lpstr>
      <vt:lpstr>sodium citrate Dihydrate </vt:lpstr>
      <vt:lpstr>Nacl</vt:lpstr>
      <vt:lpstr>'Glucose anhydrous'!Print_Area</vt:lpstr>
      <vt:lpstr>Nacl!Print_Area</vt:lpstr>
      <vt:lpstr>'sodium citrate Dihydrate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2016-04-12T08:31:47Z</cp:lastPrinted>
  <dcterms:created xsi:type="dcterms:W3CDTF">2005-07-05T10:19:27Z</dcterms:created>
  <dcterms:modified xsi:type="dcterms:W3CDTF">2016-04-12T08:33:56Z</dcterms:modified>
</cp:coreProperties>
</file>