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1"/>
  </bookViews>
  <sheets>
    <sheet name="Uniformity" sheetId="2" r:id="rId1"/>
    <sheet name="SST" sheetId="5" r:id="rId2"/>
    <sheet name="CEFUROXIME" sheetId="3" r:id="rId3"/>
    <sheet name="CLAVULANATE" sheetId="4" r:id="rId4"/>
  </sheets>
  <definedNames>
    <definedName name="_xlnm.Print_Area" localSheetId="2">CEFUROXIME!$A$1:$I$129</definedName>
    <definedName name="_xlnm.Print_Area" localSheetId="3">CLAVULANATE!$A$1:$I$129</definedName>
    <definedName name="_xlnm.Print_Area" localSheetId="0">Uniformity!$A$1:$R$54</definedName>
  </definedNames>
  <calcPr calcId="145621"/>
</workbook>
</file>

<file path=xl/calcChain.xml><?xml version="1.0" encoding="utf-8"?>
<calcChain xmlns="http://schemas.openxmlformats.org/spreadsheetml/2006/main">
  <c r="F31" i="5" l="1"/>
  <c r="F32" i="5"/>
  <c r="B31" i="5"/>
  <c r="F30" i="5"/>
  <c r="B30" i="5"/>
  <c r="B19" i="5" l="1"/>
  <c r="D40" i="3" l="1"/>
  <c r="D39" i="3"/>
  <c r="D38" i="3"/>
  <c r="F40" i="3"/>
  <c r="F39" i="3"/>
  <c r="B57" i="3" l="1"/>
  <c r="B57" i="4"/>
  <c r="F70" i="3"/>
  <c r="F66" i="3"/>
  <c r="F62" i="3"/>
  <c r="F69" i="3"/>
  <c r="F65" i="3"/>
  <c r="F61" i="3"/>
  <c r="F68" i="3"/>
  <c r="D42" i="3"/>
  <c r="F42" i="3"/>
  <c r="B58" i="5"/>
  <c r="E56" i="5"/>
  <c r="D56" i="5"/>
  <c r="C56" i="5"/>
  <c r="B56" i="5"/>
  <c r="B57" i="5" s="1"/>
  <c r="B32" i="5"/>
  <c r="E30" i="5"/>
  <c r="D30" i="5"/>
  <c r="C30" i="5"/>
  <c r="C120" i="4"/>
  <c r="B116" i="4"/>
  <c r="B98" i="4"/>
  <c r="F97" i="4"/>
  <c r="D97" i="4"/>
  <c r="F95" i="4"/>
  <c r="D95" i="4"/>
  <c r="G94" i="4"/>
  <c r="E94" i="4"/>
  <c r="B87" i="4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4" i="4"/>
  <c r="D44" i="4"/>
  <c r="F42" i="4"/>
  <c r="D42" i="4"/>
  <c r="I39" i="4" s="1"/>
  <c r="G41" i="4"/>
  <c r="E41" i="4"/>
  <c r="B34" i="4"/>
  <c r="B30" i="4"/>
  <c r="C120" i="3"/>
  <c r="B116" i="3"/>
  <c r="B98" i="3"/>
  <c r="D101" i="3" s="1"/>
  <c r="F97" i="3"/>
  <c r="D97" i="3"/>
  <c r="D98" i="3" s="1"/>
  <c r="F95" i="3"/>
  <c r="D95" i="3"/>
  <c r="G94" i="3"/>
  <c r="E94" i="3"/>
  <c r="B87" i="3"/>
  <c r="B81" i="3"/>
  <c r="B83" i="3" s="1"/>
  <c r="B80" i="3"/>
  <c r="B79" i="3"/>
  <c r="C76" i="3"/>
  <c r="H71" i="3"/>
  <c r="G71" i="3"/>
  <c r="B68" i="3"/>
  <c r="H67" i="3"/>
  <c r="G67" i="3"/>
  <c r="H63" i="3"/>
  <c r="G63" i="3"/>
  <c r="C56" i="3"/>
  <c r="B55" i="3"/>
  <c r="B45" i="3"/>
  <c r="D48" i="3" s="1"/>
  <c r="F44" i="3"/>
  <c r="D44" i="3"/>
  <c r="G41" i="3"/>
  <c r="E41" i="3"/>
  <c r="B34" i="3"/>
  <c r="B30" i="3"/>
  <c r="D101" i="4" l="1"/>
  <c r="F98" i="4"/>
  <c r="F99" i="4" s="1"/>
  <c r="I92" i="4"/>
  <c r="F98" i="3"/>
  <c r="F99" i="3" s="1"/>
  <c r="I92" i="3"/>
  <c r="D45" i="4"/>
  <c r="E38" i="4" s="1"/>
  <c r="F45" i="4"/>
  <c r="F46" i="4" s="1"/>
  <c r="D98" i="4"/>
  <c r="D45" i="3"/>
  <c r="D46" i="3" s="1"/>
  <c r="F45" i="3"/>
  <c r="G39" i="3" s="1"/>
  <c r="B69" i="3"/>
  <c r="B69" i="4"/>
  <c r="I39" i="3"/>
  <c r="D49" i="4"/>
  <c r="D99" i="4"/>
  <c r="E91" i="4"/>
  <c r="G38" i="3"/>
  <c r="D49" i="3"/>
  <c r="D99" i="3"/>
  <c r="E93" i="3"/>
  <c r="E91" i="3"/>
  <c r="E92" i="3"/>
  <c r="D102" i="3"/>
  <c r="G40" i="3" l="1"/>
  <c r="E38" i="3"/>
  <c r="F46" i="3"/>
  <c r="G92" i="3"/>
  <c r="E40" i="3"/>
  <c r="G91" i="3"/>
  <c r="G93" i="3"/>
  <c r="E40" i="4"/>
  <c r="D46" i="4"/>
  <c r="G91" i="4"/>
  <c r="G92" i="4"/>
  <c r="G93" i="4"/>
  <c r="D102" i="4"/>
  <c r="E92" i="4"/>
  <c r="E93" i="4"/>
  <c r="G38" i="4"/>
  <c r="E39" i="4"/>
  <c r="E42" i="4" s="1"/>
  <c r="G40" i="4"/>
  <c r="G39" i="4"/>
  <c r="D52" i="4" s="1"/>
  <c r="E39" i="3"/>
  <c r="E95" i="3"/>
  <c r="G42" i="3"/>
  <c r="D105" i="3" l="1"/>
  <c r="D103" i="3"/>
  <c r="E112" i="3" s="1"/>
  <c r="F112" i="3" s="1"/>
  <c r="G95" i="3"/>
  <c r="E42" i="3"/>
  <c r="D52" i="3"/>
  <c r="D50" i="3"/>
  <c r="G42" i="4"/>
  <c r="G95" i="4"/>
  <c r="D105" i="4"/>
  <c r="E95" i="4"/>
  <c r="D103" i="4"/>
  <c r="E111" i="4" s="1"/>
  <c r="F111" i="4" s="1"/>
  <c r="D50" i="4"/>
  <c r="G61" i="4" s="1"/>
  <c r="H61" i="4" s="1"/>
  <c r="D104" i="3" l="1"/>
  <c r="E108" i="3"/>
  <c r="F108" i="3" s="1"/>
  <c r="E113" i="3"/>
  <c r="F113" i="3" s="1"/>
  <c r="E110" i="3"/>
  <c r="F110" i="3" s="1"/>
  <c r="E109" i="3"/>
  <c r="F109" i="3" s="1"/>
  <c r="E111" i="3"/>
  <c r="F111" i="3" s="1"/>
  <c r="G68" i="4"/>
  <c r="H68" i="4" s="1"/>
  <c r="G69" i="4"/>
  <c r="H69" i="4" s="1"/>
  <c r="G70" i="3"/>
  <c r="H70" i="3" s="1"/>
  <c r="D51" i="3"/>
  <c r="G60" i="3"/>
  <c r="H60" i="3" s="1"/>
  <c r="G64" i="3"/>
  <c r="H64" i="3" s="1"/>
  <c r="G61" i="3"/>
  <c r="H61" i="3" s="1"/>
  <c r="G62" i="3"/>
  <c r="H62" i="3" s="1"/>
  <c r="G68" i="3"/>
  <c r="H68" i="3" s="1"/>
  <c r="G66" i="3"/>
  <c r="H66" i="3" s="1"/>
  <c r="G65" i="3"/>
  <c r="H65" i="3" s="1"/>
  <c r="G69" i="3"/>
  <c r="H69" i="3" s="1"/>
  <c r="G60" i="4"/>
  <c r="H60" i="4" s="1"/>
  <c r="G65" i="4"/>
  <c r="H65" i="4" s="1"/>
  <c r="G64" i="4"/>
  <c r="H64" i="4" s="1"/>
  <c r="G70" i="4"/>
  <c r="H70" i="4" s="1"/>
  <c r="G66" i="4"/>
  <c r="H66" i="4" s="1"/>
  <c r="D51" i="4"/>
  <c r="E112" i="4"/>
  <c r="F112" i="4" s="1"/>
  <c r="E113" i="4"/>
  <c r="F113" i="4" s="1"/>
  <c r="D104" i="4"/>
  <c r="E110" i="4"/>
  <c r="F110" i="4" s="1"/>
  <c r="E109" i="4"/>
  <c r="F109" i="4" s="1"/>
  <c r="E108" i="4"/>
  <c r="F108" i="4" s="1"/>
  <c r="G62" i="4"/>
  <c r="H62" i="4" s="1"/>
  <c r="F115" i="3" l="1"/>
  <c r="G120" i="3" s="1"/>
  <c r="F117" i="3"/>
  <c r="H72" i="4"/>
  <c r="G76" i="4" s="1"/>
  <c r="H74" i="4"/>
  <c r="H74" i="3"/>
  <c r="H72" i="3"/>
  <c r="G76" i="3" s="1"/>
  <c r="F117" i="4"/>
  <c r="F115" i="4"/>
  <c r="F116" i="4" s="1"/>
  <c r="F116" i="3"/>
  <c r="H73" i="4" l="1"/>
  <c r="H73" i="3"/>
  <c r="G120" i="4"/>
  <c r="C46" i="2" l="1"/>
  <c r="D49" i="2" s="1"/>
  <c r="C45" i="2"/>
  <c r="D41" i="2"/>
  <c r="D37" i="2"/>
  <c r="D33" i="2"/>
  <c r="D29" i="2"/>
  <c r="D25" i="2"/>
  <c r="C50" i="2" l="1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24" i="2"/>
  <c r="D28" i="2"/>
  <c r="D32" i="2"/>
  <c r="D36" i="2"/>
  <c r="D40" i="2"/>
</calcChain>
</file>

<file path=xl/sharedStrings.xml><?xml version="1.0" encoding="utf-8"?>
<sst xmlns="http://schemas.openxmlformats.org/spreadsheetml/2006/main" count="404" uniqueCount="141">
  <si>
    <t>Please enter the required information in the cells highlighted in green</t>
  </si>
  <si>
    <t>Uniformity of Weight Test Report</t>
  </si>
  <si>
    <t>Sample Name:</t>
  </si>
  <si>
    <t>KEFUCLAV 250 Tablets</t>
  </si>
  <si>
    <t>Laboratory Ref No:</t>
  </si>
  <si>
    <t>NDQD201412984</t>
  </si>
  <si>
    <t>Active Ingredient:</t>
  </si>
  <si>
    <t>Cefuroxime 250 mg &amp; Clavulanic Acid 62.5 mg</t>
  </si>
  <si>
    <t>Label Claim:</t>
  </si>
  <si>
    <t>Each film coated tablet contains Amorphous Cefuroxime Axetil USP equivalent to Cefuroxime 250 mg &amp; diluted Potassium Clavulanate BP equivalent to Clavulanic Acid 62.5 mg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</si>
  <si>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</si>
  <si>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</si>
  <si>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</si>
  <si>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</si>
  <si>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</si>
  <si>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</si>
  <si>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</si>
  <si>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</si>
  <si>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</si>
  <si>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</si>
  <si>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</si>
  <si>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</si>
  <si>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</si>
  <si>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</si>
  <si>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</si>
  <si>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</si>
  <si>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Analysis Report</t>
  </si>
  <si>
    <t>22nd June 2015</t>
  </si>
  <si>
    <t>23rd June 2015</t>
  </si>
  <si>
    <t>Reference Substance:</t>
  </si>
  <si>
    <t>Code:</t>
  </si>
  <si>
    <t>L13-1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</si>
  <si>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</si>
  <si>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</si>
  <si>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</si>
  <si>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</si>
  <si>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</si>
  <si>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</si>
  <si>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</si>
  <si>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</si>
  <si>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</si>
  <si>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</si>
  <si>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</si>
  <si>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</si>
  <si>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</si>
  <si>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</si>
  <si>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</si>
  <si>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</si>
  <si>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</si>
  <si>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</si>
  <si>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</si>
  <si>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</si>
  <si>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</si>
  <si>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</si>
  <si>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</si>
  <si>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</si>
  <si>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</si>
  <si>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</si>
  <si>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</si>
  <si>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</si>
  <si>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</si>
  <si>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</si>
  <si>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</si>
  <si>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</si>
  <si>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</si>
  <si>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</si>
  <si>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</si>
  <si>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</si>
  <si>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</si>
  <si>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</si>
  <si>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</si>
  <si>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</si>
  <si>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</si>
  <si>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</si>
  <si>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</si>
  <si>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</si>
  <si>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</si>
  <si>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</si>
  <si>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</si>
  <si>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</si>
  <si>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</si>
  <si>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</si>
  <si>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</si>
  <si>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</si>
  <si>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</si>
  <si>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</si>
  <si>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</si>
  <si>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</si>
  <si>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</si>
  <si>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</si>
  <si>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</si>
  <si>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</si>
  <si>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</si>
  <si>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</si>
  <si>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</si>
  <si>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</si>
  <si>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</si>
  <si>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</si>
  <si>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</si>
  <si>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</si>
  <si>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</si>
  <si>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</si>
  <si>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</si>
  <si>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</si>
  <si>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</si>
  <si>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</si>
  <si>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</si>
  <si>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</si>
  <si>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</si>
  <si>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</si>
  <si>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</si>
  <si>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</si>
  <si>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</si>
  <si>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</si>
  <si>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</si>
  <si>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</si>
  <si>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</si>
  <si>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</si>
  <si>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</si>
  <si>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</si>
  <si>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</si>
  <si>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</si>
  <si>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</si>
  <si>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</si>
  <si>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</si>
  <si>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</si>
  <si>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</si>
  <si>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KEFUCLAV 250</t>
  </si>
  <si>
    <t>CEFUROXIME AXETIL</t>
  </si>
  <si>
    <t>Each tablet contains cefiroxime 250 mg</t>
  </si>
  <si>
    <t>Cefuroxime Axetil</t>
  </si>
  <si>
    <t>CLAVULANATE</t>
  </si>
  <si>
    <t>Each tablet contains clavulanate 62.5mg</t>
  </si>
  <si>
    <t>Clavulanate</t>
  </si>
  <si>
    <t>Clavulanate Lithium</t>
  </si>
  <si>
    <t>Peak Areas Isimer A</t>
  </si>
  <si>
    <t>Peak Areas Isimer B</t>
  </si>
  <si>
    <t>Resolution (mins)_</t>
  </si>
  <si>
    <t>MUTUA</t>
  </si>
  <si>
    <t>Tailing Factor</t>
  </si>
  <si>
    <t>Retention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</si>
</sst>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Arial"/>
      <family val="2"/>
    </font>
    <font>
      <b/>
      <sz val="11"/>
      <color rgb="FF000000"/>
      <name val="Book Antiqua"/>
      <family val="1"/>
    </font>
    <font>
      <b/>
      <sz val="14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9" fillId="2" borderId="0"/>
    <xf numFmtId="0" fontId="9" fillId="2" borderId="0"/>
  </cellStyleXfs>
  <cellXfs count="334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1" fillId="2" borderId="0" xfId="1" applyFont="1" applyFill="1"/>
    <xf numFmtId="0" fontId="12" fillId="2" borderId="0" xfId="1" applyFont="1" applyFill="1"/>
    <xf numFmtId="0" fontId="9" fillId="2" borderId="0" xfId="1" applyFill="1"/>
    <xf numFmtId="0" fontId="15" fillId="2" borderId="0" xfId="1" applyFont="1" applyFill="1"/>
    <xf numFmtId="0" fontId="16" fillId="2" borderId="0" xfId="1" applyFont="1" applyFill="1" applyAlignment="1" applyProtection="1">
      <alignment horizontal="right"/>
      <protection locked="0"/>
    </xf>
    <xf numFmtId="0" fontId="16" fillId="2" borderId="0" xfId="1" applyFont="1" applyFill="1" applyAlignment="1" applyProtection="1">
      <alignment horizontal="left"/>
      <protection locked="0"/>
    </xf>
    <xf numFmtId="0" fontId="17" fillId="2" borderId="0" xfId="1" applyFont="1" applyFill="1"/>
    <xf numFmtId="0" fontId="17" fillId="3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12" fillId="3" borderId="0" xfId="1" applyFont="1" applyFill="1" applyProtection="1">
      <protection locked="0"/>
    </xf>
    <xf numFmtId="168" fontId="17" fillId="3" borderId="0" xfId="1" applyNumberFormat="1" applyFont="1" applyFill="1" applyAlignment="1" applyProtection="1">
      <alignment horizontal="center"/>
      <protection locked="0"/>
    </xf>
    <xf numFmtId="169" fontId="12" fillId="2" borderId="0" xfId="1" applyNumberFormat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5" fillId="2" borderId="0" xfId="1" applyFont="1" applyFill="1" applyAlignment="1">
      <alignment horizontal="right"/>
    </xf>
    <xf numFmtId="0" fontId="12" fillId="2" borderId="0" xfId="1" applyFont="1" applyFill="1" applyAlignment="1">
      <alignment horizontal="right"/>
    </xf>
    <xf numFmtId="0" fontId="16" fillId="3" borderId="0" xfId="1" applyFont="1" applyFill="1" applyAlignment="1" applyProtection="1">
      <alignment horizontal="center"/>
      <protection locked="0"/>
    </xf>
    <xf numFmtId="0" fontId="17" fillId="3" borderId="0" xfId="1" applyFont="1" applyFill="1" applyAlignment="1" applyProtection="1">
      <alignment horizontal="center"/>
      <protection locked="0"/>
    </xf>
    <xf numFmtId="0" fontId="6" fillId="2" borderId="14" xfId="1" applyFont="1" applyFill="1" applyBorder="1" applyAlignment="1">
      <alignment horizontal="center"/>
    </xf>
    <xf numFmtId="0" fontId="19" fillId="2" borderId="0" xfId="1" applyFont="1" applyFill="1" applyAlignment="1">
      <alignment vertical="center" wrapText="1"/>
    </xf>
    <xf numFmtId="0" fontId="15" fillId="2" borderId="0" xfId="1" applyFont="1" applyFill="1" applyAlignment="1">
      <alignment horizontal="center"/>
    </xf>
    <xf numFmtId="0" fontId="20" fillId="2" borderId="0" xfId="1" applyFont="1" applyFill="1"/>
    <xf numFmtId="0" fontId="21" fillId="2" borderId="0" xfId="1" applyFont="1" applyFill="1"/>
    <xf numFmtId="2" fontId="16" fillId="3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22" fillId="2" borderId="0" xfId="1" applyFont="1" applyFill="1"/>
    <xf numFmtId="2" fontId="15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left" vertical="center" wrapText="1"/>
    </xf>
    <xf numFmtId="170" fontId="15" fillId="2" borderId="0" xfId="1" applyNumberFormat="1" applyFont="1" applyFill="1" applyAlignment="1">
      <alignment horizontal="center"/>
    </xf>
    <xf numFmtId="0" fontId="12" fillId="2" borderId="15" xfId="1" applyFont="1" applyFill="1" applyBorder="1" applyAlignment="1">
      <alignment horizontal="right"/>
    </xf>
    <xf numFmtId="0" fontId="16" fillId="3" borderId="16" xfId="1" applyFont="1" applyFill="1" applyBorder="1" applyAlignment="1" applyProtection="1">
      <alignment horizontal="center"/>
      <protection locked="0"/>
    </xf>
    <xf numFmtId="0" fontId="12" fillId="2" borderId="20" xfId="1" applyFont="1" applyFill="1" applyBorder="1" applyAlignment="1">
      <alignment horizontal="right"/>
    </xf>
    <xf numFmtId="0" fontId="16" fillId="3" borderId="21" xfId="1" applyFont="1" applyFill="1" applyBorder="1" applyAlignment="1" applyProtection="1">
      <alignment horizontal="center"/>
      <protection locked="0"/>
    </xf>
    <xf numFmtId="0" fontId="15" fillId="2" borderId="16" xfId="1" applyFont="1" applyFill="1" applyBorder="1" applyAlignment="1">
      <alignment horizontal="center"/>
    </xf>
    <xf numFmtId="0" fontId="15" fillId="2" borderId="22" xfId="1" applyFont="1" applyFill="1" applyBorder="1" applyAlignment="1">
      <alignment horizontal="center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6" fillId="3" borderId="26" xfId="1" applyFont="1" applyFill="1" applyBorder="1" applyAlignment="1" applyProtection="1">
      <alignment horizontal="center"/>
      <protection locked="0"/>
    </xf>
    <xf numFmtId="171" fontId="12" fillId="2" borderId="23" xfId="1" applyNumberFormat="1" applyFont="1" applyFill="1" applyBorder="1" applyAlignment="1">
      <alignment horizontal="center"/>
    </xf>
    <xf numFmtId="171" fontId="12" fillId="2" borderId="27" xfId="1" applyNumberFormat="1" applyFont="1" applyFill="1" applyBorder="1" applyAlignment="1">
      <alignment horizontal="center"/>
    </xf>
    <xf numFmtId="0" fontId="22" fillId="2" borderId="6" xfId="1" applyFont="1" applyFill="1" applyBorder="1"/>
    <xf numFmtId="0" fontId="12" fillId="2" borderId="21" xfId="1" applyFont="1" applyFill="1" applyBorder="1" applyAlignment="1">
      <alignment horizontal="center"/>
    </xf>
    <xf numFmtId="0" fontId="16" fillId="3" borderId="20" xfId="1" applyFont="1" applyFill="1" applyBorder="1" applyAlignment="1" applyProtection="1">
      <alignment horizontal="center"/>
      <protection locked="0"/>
    </xf>
    <xf numFmtId="171" fontId="12" fillId="2" borderId="28" xfId="1" applyNumberFormat="1" applyFont="1" applyFill="1" applyBorder="1" applyAlignment="1">
      <alignment horizontal="center"/>
    </xf>
    <xf numFmtId="171" fontId="12" fillId="2" borderId="29" xfId="1" applyNumberFormat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6" fillId="3" borderId="31" xfId="1" applyFont="1" applyFill="1" applyBorder="1" applyAlignment="1" applyProtection="1">
      <alignment horizontal="center"/>
      <protection locked="0"/>
    </xf>
    <xf numFmtId="171" fontId="12" fillId="2" borderId="32" xfId="1" applyNumberFormat="1" applyFont="1" applyFill="1" applyBorder="1" applyAlignment="1">
      <alignment horizontal="center"/>
    </xf>
    <xf numFmtId="171" fontId="12" fillId="2" borderId="33" xfId="1" applyNumberFormat="1" applyFont="1" applyFill="1" applyBorder="1" applyAlignment="1">
      <alignment horizontal="center"/>
    </xf>
    <xf numFmtId="0" fontId="12" fillId="2" borderId="8" xfId="1" applyFont="1" applyFill="1" applyBorder="1"/>
    <xf numFmtId="0" fontId="12" fillId="2" borderId="21" xfId="1" applyFont="1" applyFill="1" applyBorder="1" applyAlignment="1">
      <alignment horizontal="right"/>
    </xf>
    <xf numFmtId="1" fontId="15" fillId="4" borderId="34" xfId="1" applyNumberFormat="1" applyFont="1" applyFill="1" applyBorder="1" applyAlignment="1">
      <alignment horizontal="center"/>
    </xf>
    <xf numFmtId="171" fontId="15" fillId="4" borderId="35" xfId="1" applyNumberFormat="1" applyFont="1" applyFill="1" applyBorder="1" applyAlignment="1">
      <alignment horizontal="center"/>
    </xf>
    <xf numFmtId="171" fontId="15" fillId="4" borderId="36" xfId="1" applyNumberFormat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2" fillId="2" borderId="18" xfId="1" applyFont="1" applyFill="1" applyBorder="1" applyAlignment="1">
      <alignment horizontal="right"/>
    </xf>
    <xf numFmtId="0" fontId="16" fillId="3" borderId="9" xfId="1" applyFont="1" applyFill="1" applyBorder="1" applyAlignment="1" applyProtection="1">
      <alignment horizontal="center"/>
      <protection locked="0"/>
    </xf>
    <xf numFmtId="0" fontId="12" fillId="2" borderId="4" xfId="1" applyFont="1" applyFill="1" applyBorder="1" applyAlignment="1">
      <alignment horizontal="right"/>
    </xf>
    <xf numFmtId="2" fontId="12" fillId="4" borderId="37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2" fontId="12" fillId="5" borderId="37" xfId="1" applyNumberFormat="1" applyFont="1" applyFill="1" applyBorder="1" applyAlignment="1">
      <alignment horizontal="center"/>
    </xf>
    <xf numFmtId="2" fontId="12" fillId="2" borderId="0" xfId="1" applyNumberFormat="1" applyFont="1" applyFill="1" applyAlignment="1">
      <alignment horizontal="center"/>
    </xf>
    <xf numFmtId="164" fontId="12" fillId="4" borderId="37" xfId="1" applyNumberFormat="1" applyFont="1" applyFill="1" applyBorder="1" applyAlignment="1">
      <alignment horizontal="center"/>
    </xf>
    <xf numFmtId="164" fontId="12" fillId="2" borderId="0" xfId="1" applyNumberFormat="1" applyFont="1" applyFill="1" applyAlignment="1">
      <alignment horizontal="center"/>
    </xf>
    <xf numFmtId="164" fontId="12" fillId="4" borderId="10" xfId="1" applyNumberFormat="1" applyFont="1" applyFill="1" applyBorder="1" applyAlignment="1">
      <alignment horizontal="center"/>
    </xf>
    <xf numFmtId="0" fontId="12" fillId="2" borderId="40" xfId="1" applyFont="1" applyFill="1" applyBorder="1" applyAlignment="1">
      <alignment horizontal="right"/>
    </xf>
    <xf numFmtId="164" fontId="16" fillId="3" borderId="37" xfId="1" applyNumberFormat="1" applyFont="1" applyFill="1" applyBorder="1" applyAlignment="1" applyProtection="1">
      <alignment horizontal="center"/>
      <protection locked="0"/>
    </xf>
    <xf numFmtId="164" fontId="12" fillId="2" borderId="0" xfId="1" applyNumberFormat="1" applyFont="1" applyFill="1"/>
    <xf numFmtId="0" fontId="12" fillId="2" borderId="26" xfId="1" applyFont="1" applyFill="1" applyBorder="1" applyAlignment="1">
      <alignment horizontal="right"/>
    </xf>
    <xf numFmtId="1" fontId="12" fillId="2" borderId="0" xfId="1" applyNumberFormat="1" applyFont="1" applyFill="1" applyAlignment="1">
      <alignment horizontal="center"/>
    </xf>
    <xf numFmtId="0" fontId="12" fillId="2" borderId="8" xfId="1" applyFont="1" applyFill="1" applyBorder="1" applyAlignment="1">
      <alignment horizontal="right"/>
    </xf>
    <xf numFmtId="2" fontId="12" fillId="4" borderId="8" xfId="1" applyNumberFormat="1" applyFont="1" applyFill="1" applyBorder="1" applyAlignment="1">
      <alignment horizontal="center"/>
    </xf>
    <xf numFmtId="171" fontId="15" fillId="5" borderId="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0" fontId="12" fillId="4" borderId="37" xfId="1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right"/>
    </xf>
    <xf numFmtId="0" fontId="12" fillId="5" borderId="8" xfId="1" applyFont="1" applyFill="1" applyBorder="1" applyAlignment="1">
      <alignment horizontal="center"/>
    </xf>
    <xf numFmtId="0" fontId="18" fillId="2" borderId="0" xfId="1" applyFont="1" applyFill="1"/>
    <xf numFmtId="0" fontId="15" fillId="2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172" fontId="16" fillId="3" borderId="0" xfId="1" applyNumberFormat="1" applyFont="1" applyFill="1" applyAlignment="1" applyProtection="1">
      <alignment horizontal="center"/>
      <protection locked="0"/>
    </xf>
    <xf numFmtId="164" fontId="15" fillId="2" borderId="0" xfId="1" applyNumberFormat="1" applyFont="1" applyFill="1" applyAlignment="1" applyProtection="1">
      <alignment horizontal="center"/>
      <protection locked="0"/>
    </xf>
    <xf numFmtId="2" fontId="15" fillId="2" borderId="6" xfId="1" applyNumberFormat="1" applyFont="1" applyFill="1" applyBorder="1" applyAlignment="1">
      <alignment horizontal="center"/>
    </xf>
    <xf numFmtId="0" fontId="15" fillId="2" borderId="6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/>
    </xf>
    <xf numFmtId="0" fontId="16" fillId="3" borderId="15" xfId="1" applyFont="1" applyFill="1" applyBorder="1" applyAlignment="1" applyProtection="1">
      <alignment horizontal="center"/>
      <protection locked="0"/>
    </xf>
    <xf numFmtId="164" fontId="12" fillId="2" borderId="15" xfId="1" applyNumberFormat="1" applyFont="1" applyFill="1" applyBorder="1" applyAlignment="1">
      <alignment horizontal="center"/>
    </xf>
    <xf numFmtId="10" fontId="12" fillId="2" borderId="6" xfId="1" applyNumberFormat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/>
    </xf>
    <xf numFmtId="164" fontId="12" fillId="2" borderId="20" xfId="1" applyNumberFormat="1" applyFont="1" applyFill="1" applyBorder="1" applyAlignment="1">
      <alignment horizontal="center"/>
    </xf>
    <xf numFmtId="10" fontId="12" fillId="2" borderId="7" xfId="1" applyNumberFormat="1" applyFont="1" applyFill="1" applyBorder="1" applyAlignment="1">
      <alignment horizontal="center" vertical="center"/>
    </xf>
    <xf numFmtId="1" fontId="16" fillId="3" borderId="20" xfId="1" applyNumberFormat="1" applyFont="1" applyFill="1" applyBorder="1" applyAlignment="1" applyProtection="1">
      <alignment horizontal="center"/>
      <protection locked="0"/>
    </xf>
    <xf numFmtId="0" fontId="12" fillId="2" borderId="8" xfId="1" applyFont="1" applyFill="1" applyBorder="1" applyAlignment="1">
      <alignment horizontal="center"/>
    </xf>
    <xf numFmtId="0" fontId="16" fillId="3" borderId="38" xfId="1" applyFont="1" applyFill="1" applyBorder="1" applyAlignment="1" applyProtection="1">
      <alignment horizontal="center"/>
      <protection locked="0"/>
    </xf>
    <xf numFmtId="164" fontId="12" fillId="2" borderId="6" xfId="1" applyNumberFormat="1" applyFont="1" applyFill="1" applyBorder="1" applyAlignment="1">
      <alignment horizontal="center"/>
    </xf>
    <xf numFmtId="10" fontId="12" fillId="2" borderId="16" xfId="1" applyNumberFormat="1" applyFont="1" applyFill="1" applyBorder="1" applyAlignment="1">
      <alignment horizontal="center" vertical="center"/>
    </xf>
    <xf numFmtId="164" fontId="12" fillId="2" borderId="7" xfId="1" applyNumberFormat="1" applyFont="1" applyFill="1" applyBorder="1" applyAlignment="1">
      <alignment horizontal="center"/>
    </xf>
    <xf numFmtId="10" fontId="12" fillId="2" borderId="21" xfId="1" applyNumberFormat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/>
    </xf>
    <xf numFmtId="10" fontId="12" fillId="2" borderId="39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/>
    </xf>
    <xf numFmtId="2" fontId="17" fillId="2" borderId="39" xfId="1" applyNumberFormat="1" applyFont="1" applyFill="1" applyBorder="1" applyAlignment="1">
      <alignment horizontal="center"/>
    </xf>
    <xf numFmtId="10" fontId="12" fillId="2" borderId="8" xfId="1" applyNumberFormat="1" applyFont="1" applyFill="1" applyBorder="1" applyAlignment="1">
      <alignment horizontal="center" vertical="center"/>
    </xf>
    <xf numFmtId="0" fontId="12" fillId="2" borderId="41" xfId="1" applyFont="1" applyFill="1" applyBorder="1" applyAlignment="1">
      <alignment horizontal="right"/>
    </xf>
    <xf numFmtId="10" fontId="16" fillId="5" borderId="30" xfId="1" applyNumberFormat="1" applyFont="1" applyFill="1" applyBorder="1" applyAlignment="1">
      <alignment horizontal="center"/>
    </xf>
    <xf numFmtId="0" fontId="12" fillId="2" borderId="37" xfId="1" applyFont="1" applyFill="1" applyBorder="1" applyAlignment="1">
      <alignment horizontal="right"/>
    </xf>
    <xf numFmtId="10" fontId="16" fillId="4" borderId="42" xfId="1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right"/>
    </xf>
    <xf numFmtId="0" fontId="16" fillId="5" borderId="43" xfId="1" applyFont="1" applyFill="1" applyBorder="1" applyAlignment="1">
      <alignment horizontal="center"/>
    </xf>
    <xf numFmtId="167" fontId="16" fillId="2" borderId="0" xfId="1" applyNumberFormat="1" applyFont="1" applyFill="1" applyAlignment="1">
      <alignment horizontal="center"/>
    </xf>
    <xf numFmtId="0" fontId="15" fillId="2" borderId="17" xfId="1" applyFont="1" applyFill="1" applyBorder="1" applyAlignment="1">
      <alignment horizontal="center"/>
    </xf>
    <xf numFmtId="0" fontId="15" fillId="2" borderId="18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5" fillId="2" borderId="27" xfId="1" applyFont="1" applyFill="1" applyBorder="1" applyAlignment="1">
      <alignment horizontal="center"/>
    </xf>
    <xf numFmtId="0" fontId="12" fillId="2" borderId="44" xfId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171" fontId="16" fillId="3" borderId="31" xfId="1" applyNumberFormat="1" applyFont="1" applyFill="1" applyBorder="1" applyAlignment="1" applyProtection="1">
      <alignment horizontal="center"/>
      <protection locked="0"/>
    </xf>
    <xf numFmtId="1" fontId="15" fillId="4" borderId="45" xfId="1" applyNumberFormat="1" applyFont="1" applyFill="1" applyBorder="1" applyAlignment="1">
      <alignment horizontal="center"/>
    </xf>
    <xf numFmtId="1" fontId="15" fillId="4" borderId="46" xfId="1" applyNumberFormat="1" applyFont="1" applyFill="1" applyBorder="1" applyAlignment="1">
      <alignment horizontal="center"/>
    </xf>
    <xf numFmtId="171" fontId="15" fillId="4" borderId="8" xfId="1" applyNumberFormat="1" applyFont="1" applyFill="1" applyBorder="1" applyAlignment="1">
      <alignment horizontal="center"/>
    </xf>
    <xf numFmtId="0" fontId="12" fillId="2" borderId="47" xfId="1" applyFont="1" applyFill="1" applyBorder="1" applyAlignment="1">
      <alignment horizontal="right"/>
    </xf>
    <xf numFmtId="0" fontId="12" fillId="2" borderId="22" xfId="1" applyFont="1" applyFill="1" applyBorder="1" applyAlignment="1">
      <alignment horizontal="right"/>
    </xf>
    <xf numFmtId="2" fontId="12" fillId="4" borderId="24" xfId="1" applyNumberFormat="1" applyFont="1" applyFill="1" applyBorder="1" applyAlignment="1">
      <alignment horizontal="center"/>
    </xf>
    <xf numFmtId="2" fontId="12" fillId="5" borderId="24" xfId="1" applyNumberFormat="1" applyFont="1" applyFill="1" applyBorder="1" applyAlignment="1">
      <alignment horizontal="center"/>
    </xf>
    <xf numFmtId="164" fontId="12" fillId="4" borderId="24" xfId="1" applyNumberFormat="1" applyFont="1" applyFill="1" applyBorder="1" applyAlignment="1">
      <alignment horizontal="center"/>
    </xf>
    <xf numFmtId="164" fontId="12" fillId="5" borderId="24" xfId="1" applyNumberFormat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12" fillId="2" borderId="48" xfId="1" applyFont="1" applyFill="1" applyBorder="1" applyAlignment="1">
      <alignment horizontal="right"/>
    </xf>
    <xf numFmtId="2" fontId="12" fillId="5" borderId="27" xfId="1" applyNumberFormat="1" applyFont="1" applyFill="1" applyBorder="1" applyAlignment="1">
      <alignment horizontal="center"/>
    </xf>
    <xf numFmtId="0" fontId="15" fillId="2" borderId="0" xfId="1" applyFont="1" applyFill="1" applyAlignment="1">
      <alignment horizontal="center" wrapText="1"/>
    </xf>
    <xf numFmtId="0" fontId="12" fillId="2" borderId="9" xfId="1" applyFont="1" applyFill="1" applyBorder="1" applyAlignment="1">
      <alignment horizontal="right"/>
    </xf>
    <xf numFmtId="171" fontId="15" fillId="5" borderId="9" xfId="1" applyNumberFormat="1" applyFont="1" applyFill="1" applyBorder="1" applyAlignment="1">
      <alignment horizontal="center"/>
    </xf>
    <xf numFmtId="10" fontId="12" fillId="2" borderId="0" xfId="1" applyNumberFormat="1" applyFont="1" applyFill="1" applyAlignment="1">
      <alignment horizontal="center"/>
    </xf>
    <xf numFmtId="10" fontId="15" fillId="4" borderId="37" xfId="1" applyNumberFormat="1" applyFont="1" applyFill="1" applyBorder="1" applyAlignment="1">
      <alignment horizontal="center"/>
    </xf>
    <xf numFmtId="0" fontId="15" fillId="5" borderId="10" xfId="1" applyFont="1" applyFill="1" applyBorder="1" applyAlignment="1">
      <alignment horizontal="center"/>
    </xf>
    <xf numFmtId="0" fontId="15" fillId="2" borderId="49" xfId="1" applyFont="1" applyFill="1" applyBorder="1" applyAlignment="1">
      <alignment horizontal="center"/>
    </xf>
    <xf numFmtId="0" fontId="15" fillId="2" borderId="50" xfId="1" applyFont="1" applyFill="1" applyBorder="1" applyAlignment="1">
      <alignment horizontal="center"/>
    </xf>
    <xf numFmtId="0" fontId="15" fillId="2" borderId="16" xfId="1" applyFont="1" applyFill="1" applyBorder="1" applyAlignment="1">
      <alignment horizontal="center" wrapText="1"/>
    </xf>
    <xf numFmtId="0" fontId="12" fillId="2" borderId="20" xfId="1" applyFont="1" applyFill="1" applyBorder="1" applyAlignment="1">
      <alignment horizontal="center"/>
    </xf>
    <xf numFmtId="171" fontId="16" fillId="3" borderId="28" xfId="1" applyNumberFormat="1" applyFont="1" applyFill="1" applyBorder="1" applyAlignment="1" applyProtection="1">
      <alignment horizontal="center"/>
      <protection locked="0"/>
    </xf>
    <xf numFmtId="164" fontId="12" fillId="2" borderId="23" xfId="1" applyNumberFormat="1" applyFont="1" applyFill="1" applyBorder="1" applyAlignment="1">
      <alignment horizontal="center"/>
    </xf>
    <xf numFmtId="10" fontId="12" fillId="2" borderId="27" xfId="1" applyNumberFormat="1" applyFont="1" applyFill="1" applyBorder="1" applyAlignment="1">
      <alignment horizontal="center"/>
    </xf>
    <xf numFmtId="164" fontId="12" fillId="2" borderId="28" xfId="1" applyNumberFormat="1" applyFont="1" applyFill="1" applyBorder="1" applyAlignment="1">
      <alignment horizontal="center"/>
    </xf>
    <xf numFmtId="10" fontId="12" fillId="2" borderId="29" xfId="1" applyNumberFormat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/>
    </xf>
    <xf numFmtId="171" fontId="16" fillId="3" borderId="32" xfId="1" applyNumberFormat="1" applyFont="1" applyFill="1" applyBorder="1" applyAlignment="1" applyProtection="1">
      <alignment horizontal="center"/>
      <protection locked="0"/>
    </xf>
    <xf numFmtId="164" fontId="12" fillId="2" borderId="32" xfId="1" applyNumberFormat="1" applyFont="1" applyFill="1" applyBorder="1" applyAlignment="1">
      <alignment horizontal="center"/>
    </xf>
    <xf numFmtId="10" fontId="12" fillId="2" borderId="33" xfId="1" applyNumberFormat="1" applyFont="1" applyFill="1" applyBorder="1" applyAlignment="1">
      <alignment horizontal="center"/>
    </xf>
    <xf numFmtId="2" fontId="12" fillId="2" borderId="21" xfId="1" applyNumberFormat="1" applyFont="1" applyFill="1" applyBorder="1" applyAlignment="1">
      <alignment horizontal="center"/>
    </xf>
    <xf numFmtId="171" fontId="15" fillId="2" borderId="0" xfId="1" applyNumberFormat="1" applyFont="1" applyFill="1" applyAlignment="1">
      <alignment horizontal="center"/>
    </xf>
    <xf numFmtId="171" fontId="12" fillId="2" borderId="51" xfId="1" applyNumberFormat="1" applyFont="1" applyFill="1" applyBorder="1" applyAlignment="1">
      <alignment horizontal="right"/>
    </xf>
    <xf numFmtId="10" fontId="16" fillId="5" borderId="24" xfId="1" applyNumberFormat="1" applyFont="1" applyFill="1" applyBorder="1" applyAlignment="1">
      <alignment horizontal="center"/>
    </xf>
    <xf numFmtId="0" fontId="12" fillId="2" borderId="20" xfId="1" applyFont="1" applyFill="1" applyBorder="1"/>
    <xf numFmtId="0" fontId="12" fillId="2" borderId="52" xfId="1" applyFont="1" applyFill="1" applyBorder="1"/>
    <xf numFmtId="10" fontId="16" fillId="4" borderId="24" xfId="1" applyNumberFormat="1" applyFont="1" applyFill="1" applyBorder="1" applyAlignment="1">
      <alignment horizontal="center"/>
    </xf>
    <xf numFmtId="0" fontId="12" fillId="2" borderId="38" xfId="1" applyFont="1" applyFill="1" applyBorder="1"/>
    <xf numFmtId="0" fontId="12" fillId="2" borderId="53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right"/>
    </xf>
    <xf numFmtId="0" fontId="16" fillId="5" borderId="10" xfId="1" applyFont="1" applyFill="1" applyBorder="1" applyAlignment="1">
      <alignment horizontal="center"/>
    </xf>
    <xf numFmtId="0" fontId="13" fillId="2" borderId="0" xfId="1" applyFont="1" applyFill="1" applyAlignment="1">
      <alignment horizontal="right" vertical="center" wrapText="1"/>
    </xf>
    <xf numFmtId="0" fontId="13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/>
    <xf numFmtId="0" fontId="12" fillId="2" borderId="2" xfId="1" applyFont="1" applyFill="1" applyBorder="1" applyAlignment="1">
      <alignment horizontal="center"/>
    </xf>
    <xf numFmtId="0" fontId="12" fillId="2" borderId="3" xfId="1" applyFont="1" applyFill="1" applyBorder="1"/>
    <xf numFmtId="0" fontId="15" fillId="2" borderId="4" xfId="1" applyFont="1" applyFill="1" applyBorder="1"/>
    <xf numFmtId="0" fontId="12" fillId="2" borderId="4" xfId="1" applyFont="1" applyFill="1" applyBorder="1"/>
    <xf numFmtId="0" fontId="4" fillId="2" borderId="0" xfId="2" applyFont="1" applyFill="1"/>
    <xf numFmtId="0" fontId="1" fillId="2" borderId="0" xfId="2" applyFont="1" applyFill="1"/>
    <xf numFmtId="0" fontId="1" fillId="2" borderId="0" xfId="2" applyFont="1" applyFill="1" applyAlignment="1">
      <alignment horizontal="right"/>
    </xf>
    <xf numFmtId="0" fontId="5" fillId="2" borderId="0" xfId="2" applyFont="1" applyFill="1"/>
    <xf numFmtId="0" fontId="5" fillId="2" borderId="0" xfId="2" applyFont="1" applyFill="1" applyAlignment="1">
      <alignment horizontal="left"/>
    </xf>
    <xf numFmtId="0" fontId="6" fillId="2" borderId="0" xfId="2" applyFont="1" applyFill="1" applyAlignment="1">
      <alignment horizontal="left"/>
    </xf>
    <xf numFmtId="0" fontId="6" fillId="2" borderId="0" xfId="2" applyFont="1" applyFill="1" applyAlignment="1">
      <alignment horizontal="center"/>
    </xf>
    <xf numFmtId="0" fontId="2" fillId="2" borderId="0" xfId="2" applyFont="1" applyFill="1"/>
    <xf numFmtId="0" fontId="6" fillId="2" borderId="0" xfId="2" applyFont="1" applyFill="1"/>
    <xf numFmtId="2" fontId="6" fillId="2" borderId="0" xfId="2" applyNumberFormat="1" applyFont="1" applyFill="1" applyAlignment="1">
      <alignment horizontal="center"/>
    </xf>
    <xf numFmtId="165" fontId="6" fillId="2" borderId="0" xfId="2" applyNumberFormat="1" applyFont="1" applyFill="1" applyAlignment="1">
      <alignment horizontal="center"/>
    </xf>
    <xf numFmtId="0" fontId="6" fillId="2" borderId="14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2" fillId="2" borderId="55" xfId="2" applyFont="1" applyFill="1" applyBorder="1" applyAlignment="1">
      <alignment horizontal="center"/>
    </xf>
    <xf numFmtId="0" fontId="24" fillId="3" borderId="55" xfId="2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7" xfId="2" applyFont="1" applyFill="1" applyBorder="1" applyAlignment="1" applyProtection="1">
      <alignment horizontal="center"/>
      <protection locked="0"/>
    </xf>
    <xf numFmtId="2" fontId="24" fillId="3" borderId="57" xfId="2" applyNumberFormat="1" applyFont="1" applyFill="1" applyBorder="1" applyAlignment="1" applyProtection="1">
      <alignment horizontal="center"/>
      <protection locked="0"/>
    </xf>
    <xf numFmtId="0" fontId="2" fillId="2" borderId="56" xfId="2" applyFont="1" applyFill="1" applyBorder="1"/>
    <xf numFmtId="1" fontId="6" fillId="6" borderId="51" xfId="2" applyNumberFormat="1" applyFont="1" applyFill="1" applyBorder="1" applyAlignment="1">
      <alignment horizontal="center"/>
    </xf>
    <xf numFmtId="1" fontId="6" fillId="6" borderId="14" xfId="2" applyNumberFormat="1" applyFont="1" applyFill="1" applyBorder="1" applyAlignment="1">
      <alignment horizontal="center"/>
    </xf>
    <xf numFmtId="2" fontId="6" fillId="6" borderId="14" xfId="2" applyNumberFormat="1" applyFont="1" applyFill="1" applyBorder="1" applyAlignment="1">
      <alignment horizontal="center"/>
    </xf>
    <xf numFmtId="0" fontId="2" fillId="2" borderId="55" xfId="2" applyFont="1" applyFill="1" applyBorder="1"/>
    <xf numFmtId="10" fontId="6" fillId="7" borderId="14" xfId="2" applyNumberFormat="1" applyFont="1" applyFill="1" applyBorder="1" applyAlignment="1">
      <alignment horizontal="center"/>
    </xf>
    <xf numFmtId="167" fontId="6" fillId="2" borderId="0" xfId="2" applyNumberFormat="1" applyFont="1" applyFill="1" applyAlignment="1">
      <alignment horizontal="center"/>
    </xf>
    <xf numFmtId="0" fontId="2" fillId="2" borderId="52" xfId="2" applyFont="1" applyFill="1" applyBorder="1"/>
    <xf numFmtId="0" fontId="2" fillId="2" borderId="57" xfId="2" applyFont="1" applyFill="1" applyBorder="1"/>
    <xf numFmtId="0" fontId="6" fillId="6" borderId="14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" fillId="2" borderId="3" xfId="2" applyFont="1" applyFill="1" applyBorder="1"/>
    <xf numFmtId="0" fontId="2" fillId="2" borderId="58" xfId="2" applyFont="1" applyFill="1" applyBorder="1"/>
    <xf numFmtId="0" fontId="2" fillId="2" borderId="0" xfId="2" applyFont="1" applyFill="1" applyAlignment="1" applyProtection="1">
      <alignment horizontal="left"/>
      <protection locked="0"/>
    </xf>
    <xf numFmtId="0" fontId="2" fillId="2" borderId="0" xfId="2" applyFont="1" applyFill="1" applyProtection="1">
      <protection locked="0"/>
    </xf>
    <xf numFmtId="0" fontId="1" fillId="2" borderId="1" xfId="2" applyFont="1" applyFill="1" applyBorder="1"/>
    <xf numFmtId="0" fontId="1" fillId="2" borderId="0" xfId="2" applyFont="1" applyFill="1" applyAlignment="1">
      <alignment horizontal="center"/>
    </xf>
    <xf numFmtId="10" fontId="1" fillId="2" borderId="1" xfId="2" applyNumberFormat="1" applyFont="1" applyFill="1" applyBorder="1"/>
    <xf numFmtId="0" fontId="9" fillId="2" borderId="0" xfId="2" applyFill="1"/>
    <xf numFmtId="0" fontId="4" fillId="2" borderId="2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0" fontId="4" fillId="2" borderId="0" xfId="2" applyFont="1" applyFill="1" applyAlignment="1">
      <alignment horizontal="right"/>
    </xf>
    <xf numFmtId="0" fontId="1" fillId="2" borderId="3" xfId="2" applyFont="1" applyFill="1" applyBorder="1"/>
    <xf numFmtId="0" fontId="4" fillId="2" borderId="4" xfId="2" applyFont="1" applyFill="1" applyBorder="1"/>
    <xf numFmtId="0" fontId="1" fillId="2" borderId="4" xfId="2" applyFont="1" applyFill="1" applyBorder="1"/>
    <xf numFmtId="0" fontId="18" fillId="2" borderId="0" xfId="2" applyFont="1" applyFill="1" applyAlignment="1">
      <alignment horizontal="center"/>
    </xf>
    <xf numFmtId="0" fontId="4" fillId="2" borderId="2" xfId="2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10" fontId="19" fillId="2" borderId="7" xfId="1" applyNumberFormat="1" applyFont="1" applyFill="1" applyBorder="1" applyAlignment="1">
      <alignment horizontal="center" vertical="center"/>
    </xf>
    <xf numFmtId="0" fontId="13" fillId="2" borderId="15" xfId="1" applyFont="1" applyFill="1" applyBorder="1" applyAlignment="1">
      <alignment horizontal="left" vertical="center" wrapText="1"/>
    </xf>
    <xf numFmtId="0" fontId="13" fillId="2" borderId="2" xfId="1" applyFont="1" applyFill="1" applyBorder="1" applyAlignment="1">
      <alignment horizontal="left" vertical="center" wrapText="1"/>
    </xf>
    <xf numFmtId="0" fontId="13" fillId="2" borderId="38" xfId="1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left" vertical="center" wrapText="1"/>
    </xf>
    <xf numFmtId="0" fontId="13" fillId="2" borderId="16" xfId="1" applyFont="1" applyFill="1" applyBorder="1" applyAlignment="1">
      <alignment horizontal="left" vertical="center" wrapText="1"/>
    </xf>
    <xf numFmtId="0" fontId="13" fillId="2" borderId="39" xfId="1" applyFont="1" applyFill="1" applyBorder="1" applyAlignment="1">
      <alignment horizontal="left" vertical="center" wrapText="1"/>
    </xf>
    <xf numFmtId="0" fontId="15" fillId="2" borderId="0" xfId="1" applyFont="1" applyFill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2" fontId="16" fillId="3" borderId="6" xfId="1" applyNumberFormat="1" applyFont="1" applyFill="1" applyBorder="1" applyAlignment="1" applyProtection="1">
      <alignment horizontal="center" vertical="center"/>
      <protection locked="0"/>
    </xf>
    <xf numFmtId="2" fontId="16" fillId="3" borderId="7" xfId="1" applyNumberFormat="1" applyFont="1" applyFill="1" applyBorder="1" applyAlignment="1" applyProtection="1">
      <alignment horizontal="center" vertical="center"/>
      <protection locked="0"/>
    </xf>
    <xf numFmtId="2" fontId="16" fillId="3" borderId="8" xfId="1" applyNumberFormat="1" applyFont="1" applyFill="1" applyBorder="1" applyAlignment="1" applyProtection="1">
      <alignment horizontal="center" vertical="center"/>
      <protection locked="0"/>
    </xf>
    <xf numFmtId="0" fontId="15" fillId="2" borderId="38" xfId="1" applyFont="1" applyFill="1" applyBorder="1" applyAlignment="1">
      <alignment horizontal="center" vertical="center"/>
    </xf>
    <xf numFmtId="0" fontId="16" fillId="3" borderId="0" xfId="1" applyFont="1" applyFill="1" applyAlignment="1" applyProtection="1">
      <alignment horizontal="left"/>
      <protection locked="0"/>
    </xf>
    <xf numFmtId="0" fontId="13" fillId="2" borderId="11" xfId="1" applyFont="1" applyFill="1" applyBorder="1" applyAlignment="1">
      <alignment horizontal="justify" vertical="center" wrapText="1"/>
    </xf>
    <xf numFmtId="0" fontId="13" fillId="2" borderId="12" xfId="1" applyFont="1" applyFill="1" applyBorder="1" applyAlignment="1">
      <alignment horizontal="justify" vertical="center" wrapText="1"/>
    </xf>
    <xf numFmtId="0" fontId="13" fillId="2" borderId="13" xfId="1" applyFont="1" applyFill="1" applyBorder="1" applyAlignment="1">
      <alignment horizontal="justify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3" fillId="2" borderId="13" xfId="1" applyFont="1" applyFill="1" applyBorder="1" applyAlignment="1">
      <alignment horizontal="left" vertical="center" wrapText="1"/>
    </xf>
    <xf numFmtId="0" fontId="13" fillId="2" borderId="15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38" xfId="1" applyFont="1" applyFill="1" applyBorder="1" applyAlignment="1">
      <alignment horizontal="center" vertical="center" wrapText="1"/>
    </xf>
    <xf numFmtId="0" fontId="13" fillId="2" borderId="39" xfId="1" applyFont="1" applyFill="1" applyBorder="1" applyAlignment="1">
      <alignment horizontal="center" vertical="center" wrapText="1"/>
    </xf>
    <xf numFmtId="0" fontId="15" fillId="2" borderId="18" xfId="1" applyFont="1" applyFill="1" applyBorder="1" applyAlignment="1">
      <alignment horizontal="center"/>
    </xf>
    <xf numFmtId="0" fontId="10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3" fillId="2" borderId="11" xfId="1" applyFont="1" applyFill="1" applyBorder="1" applyAlignment="1">
      <alignment horizontal="center"/>
    </xf>
    <xf numFmtId="0" fontId="13" fillId="2" borderId="12" xfId="1" applyFont="1" applyFill="1" applyBorder="1" applyAlignment="1">
      <alignment horizontal="center"/>
    </xf>
    <xf numFmtId="0" fontId="13" fillId="2" borderId="13" xfId="1" applyFont="1" applyFill="1" applyBorder="1" applyAlignment="1">
      <alignment horizontal="center"/>
    </xf>
    <xf numFmtId="0" fontId="14" fillId="2" borderId="2" xfId="1" applyFont="1" applyFill="1" applyBorder="1" applyAlignment="1">
      <alignment horizontal="center" vertical="center"/>
    </xf>
    <xf numFmtId="0" fontId="16" fillId="3" borderId="0" xfId="1" applyFont="1" applyFill="1" applyAlignment="1" applyProtection="1">
      <alignment horizontal="left" wrapText="1"/>
      <protection locked="0"/>
    </xf>
    <xf numFmtId="0" fontId="17" fillId="3" borderId="0" xfId="1" applyFont="1" applyFill="1" applyAlignment="1" applyProtection="1">
      <alignment horizontal="left" wrapText="1"/>
      <protection locked="0"/>
    </xf>
    <xf numFmtId="0" fontId="17" fillId="3" borderId="0" xfId="1" applyFont="1" applyFill="1" applyAlignment="1" applyProtection="1">
      <alignment horizontal="left"/>
      <protection locked="0"/>
    </xf>
    <xf numFmtId="2" fontId="24" fillId="3" borderId="23" xfId="2" applyNumberFormat="1" applyFont="1" applyFill="1" applyBorder="1" applyAlignment="1" applyProtection="1">
      <alignment horizontal="center"/>
      <protection locked="0"/>
    </xf>
    <xf numFmtId="2" fontId="24" fillId="3" borderId="28" xfId="2" applyNumberFormat="1" applyFont="1" applyFill="1" applyBorder="1" applyAlignment="1" applyProtection="1">
      <alignment horizontal="center"/>
      <protection locked="0"/>
    </xf>
    <xf numFmtId="2" fontId="24" fillId="3" borderId="32" xfId="2" applyNumberFormat="1" applyFont="1" applyFill="1" applyBorder="1" applyAlignment="1" applyProtection="1">
      <alignment horizontal="center"/>
      <protection locked="0"/>
    </xf>
    <xf numFmtId="2" fontId="6" fillId="6" borderId="51" xfId="2" applyNumberFormat="1" applyFont="1" applyFill="1" applyBorder="1" applyAlignment="1">
      <alignment horizontal="center"/>
    </xf>
    <xf numFmtId="0" fontId="2" fillId="2" borderId="0" xfId="2" applyFont="1" applyFill="1" applyBorder="1"/>
    <xf numFmtId="0" fontId="1" fillId="2" borderId="61" xfId="2" applyFont="1" applyFill="1" applyBorder="1"/>
    <xf numFmtId="0" fontId="1" fillId="2" borderId="62" xfId="2" applyFont="1" applyFill="1" applyBorder="1"/>
    <xf numFmtId="0" fontId="1" fillId="9" borderId="59" xfId="2" applyFont="1" applyFill="1" applyBorder="1"/>
    <xf numFmtId="0" fontId="26" fillId="2" borderId="51" xfId="2" applyFont="1" applyFill="1" applyBorder="1" applyAlignment="1">
      <alignment horizontal="center"/>
    </xf>
    <xf numFmtId="0" fontId="1" fillId="2" borderId="63" xfId="2" applyFont="1" applyFill="1" applyBorder="1"/>
    <xf numFmtId="0" fontId="1" fillId="2" borderId="64" xfId="2" applyFont="1" applyFill="1" applyBorder="1"/>
    <xf numFmtId="0" fontId="9" fillId="2" borderId="61" xfId="2" applyFill="1" applyBorder="1"/>
    <xf numFmtId="0" fontId="27" fillId="2" borderId="60" xfId="2" applyFont="1" applyFill="1" applyBorder="1"/>
    <xf numFmtId="0" fontId="9" fillId="9" borderId="59" xfId="2" applyFill="1" applyBorder="1"/>
    <xf numFmtId="0" fontId="28" fillId="8" borderId="61" xfId="2" applyFont="1" applyFill="1" applyBorder="1" applyAlignment="1">
      <alignment horizontal="center" vertical="top"/>
    </xf>
    <xf numFmtId="0" fontId="28" fillId="8" borderId="61" xfId="2" applyFont="1" applyFill="1" applyBorder="1" applyAlignment="1">
      <alignment horizontal="center"/>
    </xf>
    <xf numFmtId="0" fontId="1" fillId="8" borderId="61" xfId="2" applyFont="1" applyFill="1" applyBorder="1" applyAlignment="1">
      <alignment horizontal="center"/>
    </xf>
    <xf numFmtId="0" fontId="1" fillId="8" borderId="63" xfId="2" applyFont="1" applyFill="1" applyBorder="1" applyAlignment="1">
      <alignment horizontal="center"/>
    </xf>
    <xf numFmtId="0" fontId="30" fillId="8" borderId="61" xfId="2" applyFont="1" applyFill="1" applyBorder="1" applyAlignment="1">
      <alignment horizontal="center"/>
    </xf>
    <xf numFmtId="0" fontId="28" fillId="9" borderId="59" xfId="2" applyFont="1" applyFill="1" applyBorder="1" applyAlignment="1">
      <alignment horizontal="center"/>
    </xf>
    <xf numFmtId="0" fontId="28" fillId="9" borderId="62" xfId="2" applyFont="1" applyFill="1" applyBorder="1" applyAlignment="1">
      <alignment horizontal="center"/>
    </xf>
    <xf numFmtId="2" fontId="28" fillId="9" borderId="59" xfId="2" applyNumberFormat="1" applyFont="1" applyFill="1" applyBorder="1" applyAlignment="1">
      <alignment horizontal="center"/>
    </xf>
    <xf numFmtId="0" fontId="31" fillId="10" borderId="9" xfId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0" fontId="32" fillId="2" borderId="3" xfId="1" applyFont="1" applyFill="1" applyBorder="1"/>
    <xf numFmtId="0" fontId="25" fillId="2" borderId="3" xfId="2" applyFont="1" applyFill="1" applyBorder="1"/>
    <xf numFmtId="0" fontId="26" fillId="2" borderId="3" xfId="0" applyFont="1" applyFill="1" applyBorder="1"/>
  </cellXfs>
  <cellStyles count="3">
    <cellStyle name="Normal" xfId="0" builtinId="0"/>
    <cellStyle name="Normal 2" xfId="1"/>
    <cellStyle name="Normal 3" xfId="2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B31" workbookViewId="0">
      <selection activeCell="A11" sqref="A11:F56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263" t="s">
        <v>0</v>
      </c>
      <c r="B11" s="264"/>
      <c r="C11" s="264"/>
      <c r="D11" s="264"/>
      <c r="E11" s="264"/>
      <c r="F11" s="265"/>
      <c r="G11" s="41"/>
    </row>
    <row r="12" spans="1:7" ht="16.5" customHeight="1" x14ac:dyDescent="0.3">
      <c r="A12" s="262" t="s">
        <v>1</v>
      </c>
      <c r="B12" s="262"/>
      <c r="C12" s="262"/>
      <c r="D12" s="262"/>
      <c r="E12" s="262"/>
      <c r="F12" s="262"/>
      <c r="G12" s="40"/>
    </row>
    <row r="14" spans="1:7" ht="16.5" customHeight="1" x14ac:dyDescent="0.3">
      <c r="A14" s="267" t="s">
        <v>2</v>
      </c>
      <c r="B14" s="267"/>
      <c r="C14" s="10" t="s">
        <v>3</v>
      </c>
    </row>
    <row r="15" spans="1:7" ht="16.5" customHeight="1" x14ac:dyDescent="0.3">
      <c r="A15" s="267" t="s">
        <v>4</v>
      </c>
      <c r="B15" s="267"/>
      <c r="C15" s="10" t="s">
        <v>5</v>
      </c>
    </row>
    <row r="16" spans="1:7" ht="16.5" customHeight="1" x14ac:dyDescent="0.3">
      <c r="A16" s="267" t="s">
        <v>6</v>
      </c>
      <c r="B16" s="267"/>
      <c r="C16" s="10" t="s">
        <v>7</v>
      </c>
    </row>
    <row r="17" spans="1:5" ht="16.5" customHeight="1" x14ac:dyDescent="0.3">
      <c r="A17" s="267" t="s">
        <v>8</v>
      </c>
      <c r="B17" s="267"/>
      <c r="C17" s="330" t="s">
        <v>9</v>
      </c>
    </row>
    <row r="18" spans="1:5" ht="16.5" customHeight="1" x14ac:dyDescent="0.3">
      <c r="A18" s="267" t="s">
        <v>10</v>
      </c>
      <c r="B18" s="267"/>
      <c r="C18" s="47"/>
    </row>
    <row r="19" spans="1:5" ht="16.5" customHeight="1" x14ac:dyDescent="0.3">
      <c r="A19" s="267" t="s">
        <v>11</v>
      </c>
      <c r="B19" s="267"/>
      <c r="C19" s="47"/>
    </row>
    <row r="20" spans="1:5" ht="16.5" customHeight="1" x14ac:dyDescent="0.3">
      <c r="A20" s="12"/>
      <c r="B20" s="12"/>
      <c r="C20" s="27"/>
    </row>
    <row r="21" spans="1:5" ht="16.5" customHeight="1" x14ac:dyDescent="0.3">
      <c r="A21" s="262" t="s">
        <v>12</v>
      </c>
      <c r="B21" s="262"/>
      <c r="C21" s="9" t="s">
        <v>13</v>
      </c>
      <c r="D21" s="16"/>
    </row>
    <row r="22" spans="1:5" ht="15.75" customHeight="1" x14ac:dyDescent="0.3">
      <c r="A22" s="266"/>
      <c r="B22" s="266"/>
      <c r="C22" s="7"/>
      <c r="D22" s="266"/>
      <c r="E22" s="266"/>
    </row>
    <row r="23" spans="1:5" ht="33.75" customHeight="1" x14ac:dyDescent="0.3">
      <c r="C23" s="36" t="s">
        <v>14</v>
      </c>
      <c r="D23" s="35" t="s">
        <v>15</v>
      </c>
      <c r="E23" s="2"/>
    </row>
    <row r="24" spans="1:5" ht="15.75" customHeight="1" x14ac:dyDescent="0.25">
      <c r="C24" s="45">
        <v>630.52</v>
      </c>
      <c r="D24" s="37">
        <f t="shared" ref="D24:D43" si="0">(C24-$C$46)/$C$46</f>
        <v>-2.9984900243919303E-2</v>
      </c>
      <c r="E24" s="3"/>
    </row>
    <row r="25" spans="1:5" ht="15.75" customHeight="1" x14ac:dyDescent="0.25">
      <c r="C25" s="45">
        <v>654.69000000000005</v>
      </c>
      <c r="D25" s="38">
        <f t="shared" si="0"/>
        <v>7.1991144758430225E-3</v>
      </c>
      <c r="E25" s="3"/>
    </row>
    <row r="26" spans="1:5" ht="15.75" customHeight="1" x14ac:dyDescent="0.25">
      <c r="C26" s="45">
        <v>645.63</v>
      </c>
      <c r="D26" s="38">
        <f t="shared" si="0"/>
        <v>-6.7391219064924287E-3</v>
      </c>
      <c r="E26" s="3"/>
    </row>
    <row r="27" spans="1:5" ht="15.75" customHeight="1" x14ac:dyDescent="0.25">
      <c r="C27" s="45">
        <v>655.56</v>
      </c>
      <c r="D27" s="38">
        <f t="shared" si="0"/>
        <v>8.5375543933518799E-3</v>
      </c>
      <c r="E27" s="3"/>
    </row>
    <row r="28" spans="1:5" ht="15.75" customHeight="1" x14ac:dyDescent="0.25">
      <c r="C28" s="45">
        <v>661.98</v>
      </c>
      <c r="D28" s="38">
        <f t="shared" si="0"/>
        <v>1.8414317922556517E-2</v>
      </c>
      <c r="E28" s="3"/>
    </row>
    <row r="29" spans="1:5" ht="15.75" customHeight="1" x14ac:dyDescent="0.25">
      <c r="C29" s="45">
        <v>656.98</v>
      </c>
      <c r="D29" s="38">
        <f t="shared" si="0"/>
        <v>1.0722134488596607E-2</v>
      </c>
      <c r="E29" s="3"/>
    </row>
    <row r="30" spans="1:5" ht="15.75" customHeight="1" x14ac:dyDescent="0.25">
      <c r="C30" s="45">
        <v>657.56</v>
      </c>
      <c r="D30" s="38">
        <f t="shared" si="0"/>
        <v>1.1614427766935845E-2</v>
      </c>
      <c r="E30" s="3"/>
    </row>
    <row r="31" spans="1:5" ht="15.75" customHeight="1" x14ac:dyDescent="0.25">
      <c r="C31" s="45">
        <v>637.38</v>
      </c>
      <c r="D31" s="38">
        <f t="shared" si="0"/>
        <v>-1.9431224572526284E-2</v>
      </c>
      <c r="E31" s="3"/>
    </row>
    <row r="32" spans="1:5" ht="15.75" customHeight="1" x14ac:dyDescent="0.25">
      <c r="C32" s="45">
        <v>655.88</v>
      </c>
      <c r="D32" s="38">
        <f t="shared" si="0"/>
        <v>9.0298541331253913E-3</v>
      </c>
      <c r="E32" s="3"/>
    </row>
    <row r="33" spans="1:7" ht="15.75" customHeight="1" x14ac:dyDescent="0.25">
      <c r="C33" s="45">
        <v>644.35</v>
      </c>
      <c r="D33" s="38">
        <f t="shared" si="0"/>
        <v>-8.7083208655861239E-3</v>
      </c>
      <c r="E33" s="3"/>
    </row>
    <row r="34" spans="1:7" ht="15.75" customHeight="1" x14ac:dyDescent="0.25">
      <c r="C34" s="45">
        <v>656.76</v>
      </c>
      <c r="D34" s="38">
        <f t="shared" si="0"/>
        <v>1.0383678417502328E-2</v>
      </c>
      <c r="E34" s="3"/>
    </row>
    <row r="35" spans="1:7" ht="15.75" customHeight="1" x14ac:dyDescent="0.25">
      <c r="C35" s="45">
        <v>670.49</v>
      </c>
      <c r="D35" s="38">
        <f t="shared" si="0"/>
        <v>3.1506414127156275E-2</v>
      </c>
      <c r="E35" s="3"/>
    </row>
    <row r="36" spans="1:7" ht="15.75" customHeight="1" x14ac:dyDescent="0.25">
      <c r="C36" s="45">
        <v>648.33000000000004</v>
      </c>
      <c r="D36" s="38">
        <f t="shared" si="0"/>
        <v>-2.5853428521540062E-3</v>
      </c>
      <c r="E36" s="3"/>
    </row>
    <row r="37" spans="1:7" ht="15.75" customHeight="1" x14ac:dyDescent="0.25">
      <c r="C37" s="45">
        <v>654.46</v>
      </c>
      <c r="D37" s="38">
        <f t="shared" si="0"/>
        <v>6.8452740378808392E-3</v>
      </c>
      <c r="E37" s="3"/>
    </row>
    <row r="38" spans="1:7" ht="15.75" customHeight="1" x14ac:dyDescent="0.25">
      <c r="C38" s="45">
        <v>654.44000000000005</v>
      </c>
      <c r="D38" s="38">
        <f t="shared" si="0"/>
        <v>6.8145053041450271E-3</v>
      </c>
      <c r="E38" s="3"/>
    </row>
    <row r="39" spans="1:7" ht="15.75" customHeight="1" x14ac:dyDescent="0.25">
      <c r="C39" s="45">
        <v>634.70000000000005</v>
      </c>
      <c r="D39" s="38">
        <f t="shared" si="0"/>
        <v>-2.3554234893128721E-2</v>
      </c>
      <c r="E39" s="3"/>
    </row>
    <row r="40" spans="1:7" ht="15.75" customHeight="1" x14ac:dyDescent="0.25">
      <c r="C40" s="45">
        <v>641.79999999999995</v>
      </c>
      <c r="D40" s="38">
        <f t="shared" si="0"/>
        <v>-1.2631334416905783E-2</v>
      </c>
      <c r="E40" s="3"/>
    </row>
    <row r="41" spans="1:7" ht="15.75" customHeight="1" x14ac:dyDescent="0.25">
      <c r="C41" s="45">
        <v>654.52</v>
      </c>
      <c r="D41" s="38">
        <f t="shared" si="0"/>
        <v>6.937580239088274E-3</v>
      </c>
      <c r="E41" s="3"/>
    </row>
    <row r="42" spans="1:7" ht="15.75" customHeight="1" x14ac:dyDescent="0.25">
      <c r="C42" s="45">
        <v>654.46</v>
      </c>
      <c r="D42" s="38">
        <f t="shared" si="0"/>
        <v>6.8452740378808392E-3</v>
      </c>
      <c r="E42" s="3"/>
    </row>
    <row r="43" spans="1:7" ht="16.5" customHeight="1" x14ac:dyDescent="0.25">
      <c r="C43" s="46">
        <v>629.72</v>
      </c>
      <c r="D43" s="39">
        <f t="shared" si="0"/>
        <v>-3.121564959335282E-2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16</v>
      </c>
      <c r="C45" s="33">
        <f>SUM(C24:C44)</f>
        <v>13000.210000000001</v>
      </c>
      <c r="D45" s="28"/>
      <c r="E45" s="4"/>
    </row>
    <row r="46" spans="1:7" ht="17.25" customHeight="1" x14ac:dyDescent="0.2">
      <c r="B46" s="32" t="s">
        <v>17</v>
      </c>
      <c r="C46" s="34">
        <f>AVERAGE(C24:C44)</f>
        <v>650.01050000000009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17</v>
      </c>
      <c r="C48" s="35" t="s">
        <v>18</v>
      </c>
      <c r="D48" s="30"/>
      <c r="G48" s="8"/>
    </row>
    <row r="49" spans="1:6" ht="17.25" customHeight="1" x14ac:dyDescent="0.3">
      <c r="B49" s="260">
        <f>C46</f>
        <v>650.01050000000009</v>
      </c>
      <c r="C49" s="43">
        <f>-IF(C46&lt;=80,10%,IF(C46&lt;250,7.5%,5%))</f>
        <v>-0.05</v>
      </c>
      <c r="D49" s="31">
        <f>IF(C46&lt;=80,C46*0.9,IF(C46&lt;250,C46*0.925,C46*0.95))</f>
        <v>617.50997500000005</v>
      </c>
    </row>
    <row r="50" spans="1:6" ht="17.25" customHeight="1" x14ac:dyDescent="0.3">
      <c r="B50" s="261"/>
      <c r="C50" s="44">
        <f>IF(C46&lt;=80, 10%, IF(C46&lt;250, 7.5%, 5%))</f>
        <v>0.05</v>
      </c>
      <c r="D50" s="31">
        <f>IF(C46&lt;=80, C46*1.1, IF(C46&lt;250, C46*1.075, C46*1.05))</f>
        <v>682.51102500000013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19</v>
      </c>
      <c r="C52" s="17"/>
      <c r="D52" s="18" t="s">
        <v>20</v>
      </c>
      <c r="E52" s="19"/>
      <c r="F52" s="18" t="s">
        <v>21</v>
      </c>
    </row>
    <row r="53" spans="1:6" ht="34.5" customHeight="1" x14ac:dyDescent="0.3">
      <c r="A53" s="20" t="s">
        <v>22</v>
      </c>
      <c r="B53" s="333" t="s">
        <v>138</v>
      </c>
      <c r="C53" s="22"/>
      <c r="D53" s="21"/>
      <c r="E53" s="11"/>
      <c r="F53" s="23"/>
    </row>
    <row r="54" spans="1:6" ht="34.5" customHeight="1" x14ac:dyDescent="0.3">
      <c r="A54" s="20" t="s">
        <v>23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2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6"/>
  <sheetViews>
    <sheetView tabSelected="1" view="pageBreakPreview" zoomScale="70" zoomScaleNormal="100" zoomScaleSheetLayoutView="70" workbookViewId="0">
      <selection activeCell="I56" sqref="I56"/>
    </sheetView>
  </sheetViews>
  <sheetFormatPr defaultRowHeight="13.5" x14ac:dyDescent="0.25"/>
  <cols>
    <col min="1" max="1" width="27.5703125" style="216" customWidth="1"/>
    <col min="2" max="2" width="20.42578125" style="216" customWidth="1"/>
    <col min="3" max="3" width="20.85546875" style="216" customWidth="1"/>
    <col min="4" max="4" width="25.85546875" style="216" customWidth="1"/>
    <col min="5" max="5" width="25.7109375" style="216" customWidth="1"/>
    <col min="6" max="6" width="23.140625" style="216" customWidth="1"/>
    <col min="7" max="7" width="24.5703125" style="216" customWidth="1"/>
    <col min="8" max="8" width="21.5703125" style="216" customWidth="1"/>
    <col min="9" max="9" width="19.7109375" style="216" customWidth="1"/>
    <col min="10" max="10" width="17" style="251" customWidth="1"/>
    <col min="11" max="16384" width="9.140625" style="251"/>
  </cols>
  <sheetData>
    <row r="14" spans="1:6" ht="15" customHeight="1" x14ac:dyDescent="0.3">
      <c r="A14" s="215"/>
      <c r="C14" s="217"/>
      <c r="F14" s="217"/>
    </row>
    <row r="15" spans="1:6" ht="18.75" customHeight="1" x14ac:dyDescent="0.3">
      <c r="A15" s="258" t="s">
        <v>110</v>
      </c>
      <c r="B15" s="258"/>
      <c r="C15" s="258"/>
      <c r="D15" s="258"/>
      <c r="E15" s="258"/>
    </row>
    <row r="16" spans="1:6" ht="16.5" customHeight="1" x14ac:dyDescent="0.3">
      <c r="A16" s="218" t="s">
        <v>12</v>
      </c>
      <c r="B16" s="219" t="s">
        <v>111</v>
      </c>
    </row>
    <row r="17" spans="1:10" ht="16.5" customHeight="1" x14ac:dyDescent="0.3">
      <c r="A17" s="220" t="s">
        <v>112</v>
      </c>
      <c r="B17" s="22" t="s">
        <v>3</v>
      </c>
      <c r="C17" s="1"/>
      <c r="D17" s="221"/>
      <c r="E17" s="222"/>
    </row>
    <row r="18" spans="1:10" ht="16.5" customHeight="1" x14ac:dyDescent="0.3">
      <c r="A18" s="223" t="s">
        <v>29</v>
      </c>
      <c r="B18" s="220" t="s">
        <v>130</v>
      </c>
      <c r="C18" s="222"/>
      <c r="D18" s="222"/>
      <c r="E18" s="222"/>
    </row>
    <row r="19" spans="1:10" ht="16.5" customHeight="1" thickBot="1" x14ac:dyDescent="0.35">
      <c r="A19" s="223" t="s">
        <v>32</v>
      </c>
      <c r="B19" s="224">
        <f>0.82125*100</f>
        <v>82.125</v>
      </c>
      <c r="C19" s="222"/>
      <c r="D19" s="222"/>
      <c r="E19" s="222"/>
    </row>
    <row r="20" spans="1:10" ht="16.5" customHeight="1" x14ac:dyDescent="0.3">
      <c r="A20" s="220" t="s">
        <v>113</v>
      </c>
      <c r="B20" s="329">
        <v>17.489999999999998</v>
      </c>
      <c r="C20" s="222"/>
      <c r="D20" s="222"/>
      <c r="E20" s="222"/>
    </row>
    <row r="21" spans="1:10" ht="16.5" customHeight="1" x14ac:dyDescent="0.3">
      <c r="A21" s="220" t="s">
        <v>114</v>
      </c>
      <c r="B21" s="225">
        <v>0.05</v>
      </c>
      <c r="C21" s="222"/>
      <c r="D21" s="222"/>
      <c r="E21" s="222"/>
    </row>
    <row r="22" spans="1:10" ht="15.75" customHeight="1" x14ac:dyDescent="0.25">
      <c r="A22" s="222"/>
      <c r="B22" s="222"/>
      <c r="C22" s="222"/>
      <c r="D22" s="222"/>
      <c r="E22" s="222"/>
    </row>
    <row r="23" spans="1:10" ht="16.5" customHeight="1" x14ac:dyDescent="0.3">
      <c r="A23" s="226" t="s">
        <v>115</v>
      </c>
      <c r="B23" s="227" t="s">
        <v>135</v>
      </c>
      <c r="C23" s="226" t="s">
        <v>117</v>
      </c>
      <c r="D23" s="226" t="s">
        <v>118</v>
      </c>
      <c r="E23" s="227" t="s">
        <v>119</v>
      </c>
      <c r="F23" s="315" t="s">
        <v>136</v>
      </c>
      <c r="G23" s="226" t="s">
        <v>117</v>
      </c>
      <c r="H23" s="226" t="s">
        <v>140</v>
      </c>
      <c r="I23" s="227" t="s">
        <v>139</v>
      </c>
      <c r="J23" s="319" t="s">
        <v>137</v>
      </c>
    </row>
    <row r="24" spans="1:10" ht="16.5" customHeight="1" x14ac:dyDescent="0.3">
      <c r="A24" s="228">
        <v>1</v>
      </c>
      <c r="B24" s="229">
        <v>10931460</v>
      </c>
      <c r="C24" s="229">
        <v>38942.800000000003</v>
      </c>
      <c r="D24" s="230">
        <v>1</v>
      </c>
      <c r="E24" s="307">
        <v>21.5</v>
      </c>
      <c r="F24" s="321">
        <v>11331068</v>
      </c>
      <c r="G24" s="322">
        <v>33732.199999999997</v>
      </c>
      <c r="H24" s="323">
        <v>22.8</v>
      </c>
      <c r="I24" s="324">
        <v>1</v>
      </c>
      <c r="J24" s="325">
        <v>2.7</v>
      </c>
    </row>
    <row r="25" spans="1:10" ht="16.5" customHeight="1" x14ac:dyDescent="0.3">
      <c r="A25" s="228">
        <v>2</v>
      </c>
      <c r="B25" s="229">
        <v>10941540</v>
      </c>
      <c r="C25" s="229">
        <v>39004.6</v>
      </c>
      <c r="D25" s="230">
        <v>1</v>
      </c>
      <c r="E25" s="308">
        <v>21.5</v>
      </c>
      <c r="F25" s="321">
        <v>11284248</v>
      </c>
      <c r="G25" s="322">
        <v>33554.199999999997</v>
      </c>
      <c r="H25" s="323">
        <v>22.8</v>
      </c>
      <c r="I25" s="324">
        <v>1</v>
      </c>
      <c r="J25" s="325">
        <v>2.7</v>
      </c>
    </row>
    <row r="26" spans="1:10" ht="16.5" customHeight="1" x14ac:dyDescent="0.3">
      <c r="A26" s="228">
        <v>3</v>
      </c>
      <c r="B26" s="229">
        <v>10966646</v>
      </c>
      <c r="C26" s="229">
        <v>38905.699999999997</v>
      </c>
      <c r="D26" s="230">
        <v>1</v>
      </c>
      <c r="E26" s="308">
        <v>21.5</v>
      </c>
      <c r="F26" s="321">
        <v>11253272</v>
      </c>
      <c r="G26" s="322">
        <v>33775.199999999997</v>
      </c>
      <c r="H26" s="323">
        <v>22.8</v>
      </c>
      <c r="I26" s="324">
        <v>1</v>
      </c>
      <c r="J26" s="325">
        <v>2.7</v>
      </c>
    </row>
    <row r="27" spans="1:10" ht="16.5" customHeight="1" x14ac:dyDescent="0.3">
      <c r="A27" s="228">
        <v>4</v>
      </c>
      <c r="B27" s="229">
        <v>10925612</v>
      </c>
      <c r="C27" s="229">
        <v>38929.300000000003</v>
      </c>
      <c r="D27" s="230">
        <v>1</v>
      </c>
      <c r="E27" s="308">
        <v>21.5</v>
      </c>
      <c r="F27" s="321">
        <v>11308769</v>
      </c>
      <c r="G27" s="322">
        <v>333751.40000000002</v>
      </c>
      <c r="H27" s="323">
        <v>22.7</v>
      </c>
      <c r="I27" s="324">
        <v>1</v>
      </c>
      <c r="J27" s="325">
        <v>2.7</v>
      </c>
    </row>
    <row r="28" spans="1:10" ht="16.5" customHeight="1" x14ac:dyDescent="0.3">
      <c r="A28" s="228">
        <v>5</v>
      </c>
      <c r="B28" s="229">
        <v>10952124</v>
      </c>
      <c r="C28" s="229">
        <v>38974.9</v>
      </c>
      <c r="D28" s="230">
        <v>1</v>
      </c>
      <c r="E28" s="308">
        <v>21.5</v>
      </c>
      <c r="F28" s="321">
        <v>11353326</v>
      </c>
      <c r="G28" s="322">
        <v>33661.199999999997</v>
      </c>
      <c r="H28" s="324">
        <v>22.7</v>
      </c>
      <c r="I28" s="324">
        <v>1</v>
      </c>
      <c r="J28" s="325">
        <v>2.7</v>
      </c>
    </row>
    <row r="29" spans="1:10" ht="16.5" customHeight="1" x14ac:dyDescent="0.3">
      <c r="A29" s="228">
        <v>6</v>
      </c>
      <c r="B29" s="231">
        <v>10943153</v>
      </c>
      <c r="C29" s="231">
        <v>38983.4</v>
      </c>
      <c r="D29" s="232">
        <v>1</v>
      </c>
      <c r="E29" s="309">
        <v>21.5</v>
      </c>
      <c r="F29" s="321">
        <v>11403849</v>
      </c>
      <c r="G29" s="322">
        <v>33545.9</v>
      </c>
      <c r="H29" s="324">
        <v>22.7</v>
      </c>
      <c r="I29" s="324">
        <v>1</v>
      </c>
      <c r="J29" s="325">
        <v>2.7</v>
      </c>
    </row>
    <row r="30" spans="1:10" ht="16.5" customHeight="1" x14ac:dyDescent="0.3">
      <c r="A30" s="233" t="s">
        <v>120</v>
      </c>
      <c r="B30" s="234">
        <f>AVERAGE(B24:B29)</f>
        <v>10943422.5</v>
      </c>
      <c r="C30" s="235">
        <f>AVERAGE(C24:C29)</f>
        <v>38956.783333333333</v>
      </c>
      <c r="D30" s="236">
        <f>AVERAGE(D24:D29)</f>
        <v>1</v>
      </c>
      <c r="E30" s="310">
        <f>AVERAGE(E24:E29)</f>
        <v>21.5</v>
      </c>
      <c r="F30" s="326">
        <f>AVERAGE(F24:F29)</f>
        <v>11322422</v>
      </c>
      <c r="G30" s="314"/>
      <c r="H30" s="314"/>
      <c r="I30" s="314"/>
      <c r="J30" s="320"/>
    </row>
    <row r="31" spans="1:10" ht="16.5" customHeight="1" x14ac:dyDescent="0.3">
      <c r="A31" s="237" t="s">
        <v>121</v>
      </c>
      <c r="B31" s="238">
        <f>(STDEV(B24:B29)/B30)</f>
        <v>1.3423577933276652E-3</v>
      </c>
      <c r="C31" s="239"/>
      <c r="D31" s="239"/>
      <c r="E31" s="311"/>
      <c r="F31" s="328">
        <f>STDEV(F24:F29)/F30</f>
        <v>4.687729410591885E-3</v>
      </c>
      <c r="G31" s="312"/>
      <c r="H31" s="312"/>
      <c r="I31" s="316"/>
      <c r="J31" s="318"/>
    </row>
    <row r="32" spans="1:10" s="216" customFormat="1" ht="16.5" customHeight="1" x14ac:dyDescent="0.3">
      <c r="A32" s="241" t="s">
        <v>69</v>
      </c>
      <c r="B32" s="242">
        <f>COUNT(B24:B29)</f>
        <v>6</v>
      </c>
      <c r="C32" s="243"/>
      <c r="D32" s="244"/>
      <c r="E32" s="244"/>
      <c r="F32" s="327">
        <f>COUNT(F24:F29)</f>
        <v>6</v>
      </c>
      <c r="G32" s="313"/>
      <c r="H32" s="313"/>
      <c r="I32" s="317"/>
      <c r="J32" s="313"/>
    </row>
    <row r="33" spans="1:5" s="216" customFormat="1" ht="15.75" customHeight="1" x14ac:dyDescent="0.25">
      <c r="A33" s="222"/>
      <c r="B33" s="222"/>
      <c r="C33" s="222"/>
      <c r="D33" s="222"/>
      <c r="E33" s="222"/>
    </row>
    <row r="34" spans="1:5" s="216" customFormat="1" ht="16.5" customHeight="1" x14ac:dyDescent="0.3">
      <c r="A34" s="223" t="s">
        <v>122</v>
      </c>
      <c r="B34" s="246" t="s">
        <v>123</v>
      </c>
      <c r="C34" s="247"/>
      <c r="D34" s="247"/>
      <c r="E34" s="247"/>
    </row>
    <row r="35" spans="1:5" ht="16.5" customHeight="1" x14ac:dyDescent="0.3">
      <c r="A35" s="223"/>
      <c r="B35" s="246" t="s">
        <v>124</v>
      </c>
      <c r="C35" s="247"/>
      <c r="D35" s="247"/>
      <c r="E35" s="247"/>
    </row>
    <row r="36" spans="1:5" ht="16.5" customHeight="1" x14ac:dyDescent="0.3">
      <c r="A36" s="223"/>
      <c r="B36" s="246" t="s">
        <v>125</v>
      </c>
      <c r="C36" s="247"/>
      <c r="D36" s="247"/>
      <c r="E36" s="247"/>
    </row>
    <row r="37" spans="1:5" ht="16.5" customHeight="1" x14ac:dyDescent="0.3">
      <c r="A37" s="223"/>
      <c r="B37" s="246"/>
      <c r="C37" s="247"/>
      <c r="D37" s="247"/>
      <c r="E37" s="247"/>
    </row>
    <row r="38" spans="1:5" ht="16.5" customHeight="1" x14ac:dyDescent="0.3">
      <c r="A38" s="223"/>
      <c r="B38" s="246"/>
      <c r="C38" s="247"/>
      <c r="D38" s="247"/>
      <c r="E38" s="247"/>
    </row>
    <row r="39" spans="1:5" ht="16.5" customHeight="1" x14ac:dyDescent="0.3">
      <c r="A39" s="223"/>
      <c r="B39" s="246"/>
      <c r="C39" s="247"/>
      <c r="D39" s="247"/>
      <c r="E39" s="247"/>
    </row>
    <row r="40" spans="1:5" ht="16.5" customHeight="1" x14ac:dyDescent="0.3">
      <c r="A40" s="223"/>
      <c r="B40" s="246"/>
      <c r="C40" s="247"/>
      <c r="D40" s="247"/>
      <c r="E40" s="247"/>
    </row>
    <row r="41" spans="1:5" ht="16.5" customHeight="1" x14ac:dyDescent="0.3">
      <c r="A41" s="223"/>
      <c r="B41" s="246"/>
      <c r="C41" s="247"/>
      <c r="D41" s="247"/>
      <c r="E41" s="247"/>
    </row>
    <row r="42" spans="1:5" ht="15.75" customHeight="1" x14ac:dyDescent="0.25">
      <c r="A42" s="222"/>
      <c r="B42" s="222"/>
      <c r="C42" s="222"/>
      <c r="D42" s="222"/>
      <c r="E42" s="222"/>
    </row>
    <row r="43" spans="1:5" ht="16.5" customHeight="1" x14ac:dyDescent="0.3">
      <c r="A43" s="218" t="s">
        <v>12</v>
      </c>
      <c r="B43" s="219" t="s">
        <v>126</v>
      </c>
    </row>
    <row r="44" spans="1:5" ht="16.5" customHeight="1" x14ac:dyDescent="0.3">
      <c r="A44" s="223" t="s">
        <v>29</v>
      </c>
      <c r="B44" s="220" t="s">
        <v>134</v>
      </c>
      <c r="C44" s="222"/>
      <c r="D44" s="222"/>
      <c r="E44" s="222"/>
    </row>
    <row r="45" spans="1:5" ht="16.5" customHeight="1" x14ac:dyDescent="0.3">
      <c r="A45" s="223" t="s">
        <v>32</v>
      </c>
      <c r="B45" s="224">
        <v>96.4</v>
      </c>
      <c r="C45" s="222"/>
      <c r="D45" s="222"/>
      <c r="E45" s="222"/>
    </row>
    <row r="46" spans="1:5" ht="16.5" customHeight="1" x14ac:dyDescent="0.3">
      <c r="A46" s="220" t="s">
        <v>113</v>
      </c>
      <c r="B46" s="224">
        <v>12.72</v>
      </c>
      <c r="C46" s="222"/>
      <c r="D46" s="222"/>
      <c r="E46" s="222"/>
    </row>
    <row r="47" spans="1:5" ht="16.5" customHeight="1" x14ac:dyDescent="0.3">
      <c r="A47" s="220" t="s">
        <v>114</v>
      </c>
      <c r="B47" s="225">
        <v>1.052E-2</v>
      </c>
      <c r="C47" s="222"/>
      <c r="D47" s="222"/>
      <c r="E47" s="222"/>
    </row>
    <row r="48" spans="1:5" ht="15.75" customHeight="1" x14ac:dyDescent="0.25">
      <c r="A48" s="222"/>
      <c r="B48" s="222"/>
      <c r="C48" s="222"/>
      <c r="D48" s="222"/>
      <c r="E48" s="222"/>
    </row>
    <row r="49" spans="1:7" ht="16.5" customHeight="1" x14ac:dyDescent="0.3">
      <c r="A49" s="226" t="s">
        <v>115</v>
      </c>
      <c r="B49" s="227" t="s">
        <v>116</v>
      </c>
      <c r="C49" s="226" t="s">
        <v>117</v>
      </c>
      <c r="D49" s="226" t="s">
        <v>118</v>
      </c>
      <c r="E49" s="226" t="s">
        <v>119</v>
      </c>
    </row>
    <row r="50" spans="1:7" ht="16.5" customHeight="1" x14ac:dyDescent="0.3">
      <c r="A50" s="228">
        <v>1</v>
      </c>
      <c r="B50" s="229">
        <v>5063619</v>
      </c>
      <c r="C50" s="229">
        <v>13365.1</v>
      </c>
      <c r="D50" s="230">
        <v>1.1000000000000001</v>
      </c>
      <c r="E50" s="230">
        <v>5.5</v>
      </c>
    </row>
    <row r="51" spans="1:7" ht="16.5" customHeight="1" x14ac:dyDescent="0.3">
      <c r="A51" s="228">
        <v>2</v>
      </c>
      <c r="B51" s="229">
        <v>5194015</v>
      </c>
      <c r="C51" s="229">
        <v>13442.8</v>
      </c>
      <c r="D51" s="230">
        <v>1</v>
      </c>
      <c r="E51" s="230">
        <v>5.5</v>
      </c>
    </row>
    <row r="52" spans="1:7" ht="16.5" customHeight="1" x14ac:dyDescent="0.3">
      <c r="A52" s="228">
        <v>3</v>
      </c>
      <c r="B52" s="229">
        <v>5203657</v>
      </c>
      <c r="C52" s="229">
        <v>13333.8</v>
      </c>
      <c r="D52" s="230">
        <v>1.1000000000000001</v>
      </c>
      <c r="E52" s="230">
        <v>5.5</v>
      </c>
    </row>
    <row r="53" spans="1:7" ht="16.5" customHeight="1" x14ac:dyDescent="0.3">
      <c r="A53" s="228">
        <v>4</v>
      </c>
      <c r="B53" s="229">
        <v>5188131</v>
      </c>
      <c r="C53" s="229">
        <v>13356.5</v>
      </c>
      <c r="D53" s="230">
        <v>1.1000000000000001</v>
      </c>
      <c r="E53" s="230">
        <v>5.5</v>
      </c>
    </row>
    <row r="54" spans="1:7" ht="16.5" customHeight="1" x14ac:dyDescent="0.3">
      <c r="A54" s="228">
        <v>5</v>
      </c>
      <c r="B54" s="231">
        <v>5203430</v>
      </c>
      <c r="C54" s="231">
        <v>13323.9</v>
      </c>
      <c r="D54" s="232">
        <v>1</v>
      </c>
      <c r="E54" s="232">
        <v>5.5</v>
      </c>
    </row>
    <row r="55" spans="1:7" ht="16.5" customHeight="1" x14ac:dyDescent="0.3">
      <c r="A55" s="228">
        <v>6</v>
      </c>
      <c r="B55" s="231">
        <v>5177593</v>
      </c>
      <c r="C55" s="231">
        <v>13409.7</v>
      </c>
      <c r="D55" s="232">
        <v>1.1000000000000001</v>
      </c>
      <c r="E55" s="232">
        <v>5.5</v>
      </c>
    </row>
    <row r="56" spans="1:7" ht="16.5" customHeight="1" x14ac:dyDescent="0.3">
      <c r="A56" s="233" t="s">
        <v>120</v>
      </c>
      <c r="B56" s="234">
        <f>AVERAGE(B50:B55)</f>
        <v>5171740.833333333</v>
      </c>
      <c r="C56" s="235">
        <f>AVERAGE(C50:C55)</f>
        <v>13371.966666666665</v>
      </c>
      <c r="D56" s="236">
        <f>AVERAGE(D50:D55)</f>
        <v>1.0666666666666667</v>
      </c>
      <c r="E56" s="236">
        <f>AVERAGE(E50:E55)</f>
        <v>5.5</v>
      </c>
    </row>
    <row r="57" spans="1:7" ht="16.5" customHeight="1" x14ac:dyDescent="0.3">
      <c r="A57" s="237" t="s">
        <v>121</v>
      </c>
      <c r="B57" s="238">
        <f>(STDEV(B50:B55)/B56)</f>
        <v>1.0417052863706271E-2</v>
      </c>
      <c r="C57" s="239"/>
      <c r="D57" s="239"/>
      <c r="E57" s="240"/>
    </row>
    <row r="58" spans="1:7" s="216" customFormat="1" ht="16.5" customHeight="1" x14ac:dyDescent="0.3">
      <c r="A58" s="241" t="s">
        <v>69</v>
      </c>
      <c r="B58" s="242">
        <f>COUNT(B50:B55)</f>
        <v>6</v>
      </c>
      <c r="C58" s="243"/>
      <c r="D58" s="244"/>
      <c r="E58" s="245"/>
    </row>
    <row r="59" spans="1:7" s="216" customFormat="1" ht="15.75" customHeight="1" x14ac:dyDescent="0.25">
      <c r="A59" s="222"/>
      <c r="B59" s="222"/>
      <c r="C59" s="222"/>
      <c r="D59" s="222"/>
      <c r="E59" s="222"/>
    </row>
    <row r="60" spans="1:7" s="216" customFormat="1" ht="16.5" customHeight="1" x14ac:dyDescent="0.3">
      <c r="A60" s="223" t="s">
        <v>122</v>
      </c>
      <c r="B60" s="246" t="s">
        <v>123</v>
      </c>
      <c r="C60" s="247"/>
      <c r="D60" s="247"/>
      <c r="E60" s="247"/>
    </row>
    <row r="61" spans="1:7" ht="16.5" customHeight="1" x14ac:dyDescent="0.3">
      <c r="A61" s="223"/>
      <c r="B61" s="246" t="s">
        <v>124</v>
      </c>
      <c r="C61" s="247"/>
      <c r="D61" s="247"/>
      <c r="E61" s="247"/>
    </row>
    <row r="62" spans="1:7" ht="16.5" customHeight="1" x14ac:dyDescent="0.3">
      <c r="A62" s="223"/>
      <c r="B62" s="246" t="s">
        <v>125</v>
      </c>
      <c r="C62" s="247"/>
      <c r="D62" s="247"/>
      <c r="E62" s="247"/>
    </row>
    <row r="63" spans="1:7" ht="14.25" customHeight="1" thickBot="1" x14ac:dyDescent="0.3">
      <c r="A63" s="248"/>
      <c r="B63" s="249"/>
      <c r="D63" s="250"/>
      <c r="F63" s="251"/>
      <c r="G63" s="251"/>
    </row>
    <row r="64" spans="1:7" ht="15" customHeight="1" x14ac:dyDescent="0.3">
      <c r="B64" s="259" t="s">
        <v>19</v>
      </c>
      <c r="C64" s="259"/>
      <c r="E64" s="252" t="s">
        <v>20</v>
      </c>
      <c r="F64" s="253"/>
      <c r="G64" s="252" t="s">
        <v>21</v>
      </c>
    </row>
    <row r="65" spans="1:7" ht="15" customHeight="1" x14ac:dyDescent="0.3">
      <c r="A65" s="254" t="s">
        <v>22</v>
      </c>
      <c r="B65" s="332" t="s">
        <v>138</v>
      </c>
      <c r="C65" s="255"/>
      <c r="E65" s="255"/>
      <c r="G65" s="255"/>
    </row>
    <row r="66" spans="1:7" ht="15" customHeight="1" x14ac:dyDescent="0.3">
      <c r="A66" s="254" t="s">
        <v>23</v>
      </c>
      <c r="B66" s="256"/>
      <c r="C66" s="256"/>
      <c r="E66" s="256"/>
      <c r="G66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4:C64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23" zoomScale="60" zoomScaleNormal="40" workbookViewId="0">
      <selection sqref="A1:I129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98" t="s">
        <v>24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25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 x14ac:dyDescent="0.35">
      <c r="A15" s="49"/>
    </row>
    <row r="16" spans="1:9" ht="19.5" customHeight="1" thickBot="1" x14ac:dyDescent="0.35">
      <c r="A16" s="300" t="s">
        <v>0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26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51" t="s">
        <v>2</v>
      </c>
      <c r="B18" s="304" t="s">
        <v>127</v>
      </c>
      <c r="C18" s="304"/>
      <c r="D18" s="52"/>
      <c r="E18" s="53"/>
      <c r="F18" s="54"/>
      <c r="G18" s="54"/>
      <c r="H18" s="54"/>
    </row>
    <row r="19" spans="1:14" ht="26.25" customHeight="1" x14ac:dyDescent="0.4">
      <c r="A19" s="51" t="s">
        <v>4</v>
      </c>
      <c r="B19" s="55" t="s">
        <v>5</v>
      </c>
      <c r="C19" s="56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6</v>
      </c>
      <c r="B20" s="305" t="s">
        <v>128</v>
      </c>
      <c r="C20" s="305"/>
      <c r="D20" s="54"/>
      <c r="E20" s="54"/>
      <c r="F20" s="54"/>
      <c r="G20" s="54"/>
      <c r="H20" s="54"/>
    </row>
    <row r="21" spans="1:14" ht="26.25" customHeight="1" x14ac:dyDescent="0.4">
      <c r="A21" s="51" t="s">
        <v>8</v>
      </c>
      <c r="B21" s="305" t="s">
        <v>129</v>
      </c>
      <c r="C21" s="305"/>
      <c r="D21" s="305"/>
      <c r="E21" s="305"/>
      <c r="F21" s="305"/>
      <c r="G21" s="305"/>
      <c r="H21" s="305"/>
      <c r="I21" s="57"/>
    </row>
    <row r="22" spans="1:14" ht="26.25" customHeight="1" x14ac:dyDescent="0.4">
      <c r="A22" s="51" t="s">
        <v>10</v>
      </c>
      <c r="B22" s="58" t="s">
        <v>27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11</v>
      </c>
      <c r="B23" s="58" t="s">
        <v>28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9"/>
    </row>
    <row r="25" spans="1:14" ht="18.75" x14ac:dyDescent="0.3">
      <c r="A25" s="60" t="s">
        <v>12</v>
      </c>
      <c r="B25" s="59"/>
    </row>
    <row r="26" spans="1:14" ht="26.25" customHeight="1" x14ac:dyDescent="0.4">
      <c r="A26" s="61" t="s">
        <v>29</v>
      </c>
      <c r="B26" s="304" t="s">
        <v>130</v>
      </c>
      <c r="C26" s="304"/>
    </row>
    <row r="27" spans="1:14" ht="26.25" customHeight="1" x14ac:dyDescent="0.4">
      <c r="A27" s="62" t="s">
        <v>30</v>
      </c>
      <c r="B27" s="306" t="s">
        <v>31</v>
      </c>
      <c r="C27" s="306"/>
    </row>
    <row r="28" spans="1:14" ht="27" customHeight="1" thickBot="1" x14ac:dyDescent="0.45">
      <c r="A28" s="62" t="s">
        <v>32</v>
      </c>
      <c r="B28" s="63">
        <v>82.125</v>
      </c>
    </row>
    <row r="29" spans="1:14" s="65" customFormat="1" ht="27" customHeight="1" thickBot="1" x14ac:dyDescent="0.45">
      <c r="A29" s="62" t="s">
        <v>33</v>
      </c>
      <c r="B29" s="64">
        <v>0</v>
      </c>
      <c r="C29" s="287" t="s">
        <v>34</v>
      </c>
      <c r="D29" s="288"/>
      <c r="E29" s="288"/>
      <c r="F29" s="288"/>
      <c r="G29" s="289"/>
      <c r="I29" s="66"/>
      <c r="J29" s="66"/>
      <c r="K29" s="66"/>
      <c r="L29" s="66"/>
    </row>
    <row r="30" spans="1:14" s="65" customFormat="1" ht="19.5" customHeight="1" thickBot="1" x14ac:dyDescent="0.35">
      <c r="A30" s="62" t="s">
        <v>35</v>
      </c>
      <c r="B30" s="67">
        <f>B28-B29</f>
        <v>82.125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65" customFormat="1" ht="27" customHeight="1" thickBot="1" x14ac:dyDescent="0.45">
      <c r="A31" s="62" t="s">
        <v>36</v>
      </c>
      <c r="B31" s="70">
        <v>1</v>
      </c>
      <c r="C31" s="290" t="s">
        <v>37</v>
      </c>
      <c r="D31" s="291"/>
      <c r="E31" s="291"/>
      <c r="F31" s="291"/>
      <c r="G31" s="291"/>
      <c r="H31" s="292"/>
      <c r="I31" s="66"/>
      <c r="J31" s="66"/>
      <c r="K31" s="66"/>
      <c r="L31" s="66"/>
    </row>
    <row r="32" spans="1:14" s="65" customFormat="1" ht="27" customHeight="1" thickBot="1" x14ac:dyDescent="0.45">
      <c r="A32" s="62" t="s">
        <v>38</v>
      </c>
      <c r="B32" s="70">
        <v>1</v>
      </c>
      <c r="C32" s="290" t="s">
        <v>39</v>
      </c>
      <c r="D32" s="291"/>
      <c r="E32" s="291"/>
      <c r="F32" s="291"/>
      <c r="G32" s="291"/>
      <c r="H32" s="292"/>
      <c r="I32" s="66"/>
      <c r="J32" s="66"/>
      <c r="K32" s="66"/>
      <c r="L32" s="71"/>
      <c r="M32" s="71"/>
      <c r="N32" s="72"/>
    </row>
    <row r="33" spans="1:14" s="65" customFormat="1" ht="17.25" customHeight="1" x14ac:dyDescent="0.3">
      <c r="A33" s="62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65" customFormat="1" ht="18.75" x14ac:dyDescent="0.3">
      <c r="A34" s="62" t="s">
        <v>40</v>
      </c>
      <c r="B34" s="75">
        <f>B31/B32</f>
        <v>1</v>
      </c>
      <c r="C34" s="49" t="s">
        <v>41</v>
      </c>
      <c r="D34" s="49"/>
      <c r="E34" s="49"/>
      <c r="F34" s="49"/>
      <c r="G34" s="49"/>
      <c r="I34" s="66"/>
      <c r="J34" s="66"/>
      <c r="K34" s="66"/>
      <c r="L34" s="71"/>
      <c r="M34" s="71"/>
      <c r="N34" s="72"/>
    </row>
    <row r="35" spans="1:14" s="65" customFormat="1" ht="19.5" customHeight="1" thickBot="1" x14ac:dyDescent="0.35">
      <c r="A35" s="62"/>
      <c r="B35" s="67"/>
      <c r="G35" s="49"/>
      <c r="I35" s="66"/>
      <c r="J35" s="66"/>
      <c r="K35" s="66"/>
      <c r="L35" s="71"/>
      <c r="M35" s="71"/>
      <c r="N35" s="72"/>
    </row>
    <row r="36" spans="1:14" s="65" customFormat="1" ht="27" customHeight="1" thickBot="1" x14ac:dyDescent="0.45">
      <c r="A36" s="76" t="s">
        <v>42</v>
      </c>
      <c r="B36" s="77">
        <v>25</v>
      </c>
      <c r="C36" s="49"/>
      <c r="D36" s="277" t="s">
        <v>43</v>
      </c>
      <c r="E36" s="297"/>
      <c r="F36" s="277" t="s">
        <v>44</v>
      </c>
      <c r="G36" s="278"/>
      <c r="J36" s="66"/>
      <c r="K36" s="66"/>
      <c r="L36" s="71"/>
      <c r="M36" s="71"/>
      <c r="N36" s="72"/>
    </row>
    <row r="37" spans="1:14" s="65" customFormat="1" ht="27" customHeight="1" thickBot="1" x14ac:dyDescent="0.45">
      <c r="A37" s="78" t="s">
        <v>45</v>
      </c>
      <c r="B37" s="79">
        <v>10</v>
      </c>
      <c r="C37" s="80" t="s">
        <v>46</v>
      </c>
      <c r="D37" s="81" t="s">
        <v>47</v>
      </c>
      <c r="E37" s="82" t="s">
        <v>48</v>
      </c>
      <c r="F37" s="81" t="s">
        <v>47</v>
      </c>
      <c r="G37" s="83" t="s">
        <v>48</v>
      </c>
      <c r="I37" s="84" t="s">
        <v>49</v>
      </c>
      <c r="J37" s="66"/>
      <c r="K37" s="66"/>
      <c r="L37" s="71"/>
      <c r="M37" s="71"/>
      <c r="N37" s="72"/>
    </row>
    <row r="38" spans="1:14" s="65" customFormat="1" ht="26.25" customHeight="1" x14ac:dyDescent="0.4">
      <c r="A38" s="78" t="s">
        <v>50</v>
      </c>
      <c r="B38" s="79">
        <v>100</v>
      </c>
      <c r="C38" s="85">
        <v>1</v>
      </c>
      <c r="D38" s="86">
        <f>10852638+11442118</f>
        <v>22294756</v>
      </c>
      <c r="E38" s="87">
        <f>IF(ISBLANK(D38),"-",$D$48/$D$45*D38)</f>
        <v>19402046.657668266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65" customFormat="1" ht="26.25" customHeight="1" x14ac:dyDescent="0.4">
      <c r="A39" s="78" t="s">
        <v>51</v>
      </c>
      <c r="B39" s="79">
        <v>1</v>
      </c>
      <c r="C39" s="90">
        <v>2</v>
      </c>
      <c r="D39" s="91">
        <f>10892827+11217310</f>
        <v>22110137</v>
      </c>
      <c r="E39" s="92">
        <f>IF(ISBLANK(D39),"-",$D$48/$D$45*D39)</f>
        <v>19241381.681030169</v>
      </c>
      <c r="F39" s="91">
        <f>12557272+13234134</f>
        <v>25791406</v>
      </c>
      <c r="G39" s="93">
        <f>IF(ISBLANK(F39),"-",$D$48/$F$45*F39)</f>
        <v>19896769.246316906</v>
      </c>
      <c r="I39" s="268">
        <f>ABS((F43/D43*D42)-F42)/D42</f>
        <v>3.5279477701838043E-2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52</v>
      </c>
      <c r="B40" s="79">
        <v>1</v>
      </c>
      <c r="C40" s="90">
        <v>3</v>
      </c>
      <c r="D40" s="91">
        <f>10911053+11341079</f>
        <v>22252132</v>
      </c>
      <c r="E40" s="92">
        <f>IF(ISBLANK(D40),"-",$D$48/$D$45*D40)</f>
        <v>19364953.054278463</v>
      </c>
      <c r="F40" s="91">
        <f>12617336+13288343</f>
        <v>25905679</v>
      </c>
      <c r="G40" s="93">
        <f>IF(ISBLANK(F40),"-",$D$48/$F$45*F40)</f>
        <v>19984925.103817824</v>
      </c>
      <c r="I40" s="268"/>
      <c r="L40" s="71"/>
      <c r="M40" s="71"/>
      <c r="N40" s="49"/>
    </row>
    <row r="41" spans="1:14" ht="27" customHeight="1" thickBot="1" x14ac:dyDescent="0.45">
      <c r="A41" s="78" t="s">
        <v>53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49"/>
    </row>
    <row r="42" spans="1:14" ht="27" customHeight="1" thickBot="1" x14ac:dyDescent="0.45">
      <c r="A42" s="78" t="s">
        <v>54</v>
      </c>
      <c r="B42" s="79">
        <v>1</v>
      </c>
      <c r="C42" s="99" t="s">
        <v>55</v>
      </c>
      <c r="D42" s="100">
        <f>AVERAGE(D38:D41)</f>
        <v>22219008.333333332</v>
      </c>
      <c r="E42" s="101">
        <f>AVERAGE(E38:E41)</f>
        <v>19336127.130992297</v>
      </c>
      <c r="F42" s="100">
        <f>AVERAGE(F38:F41)</f>
        <v>25848542.5</v>
      </c>
      <c r="G42" s="102">
        <f>AVERAGE(G38:G41)</f>
        <v>19940847.175067365</v>
      </c>
      <c r="H42" s="103"/>
    </row>
    <row r="43" spans="1:14" ht="26.25" customHeight="1" x14ac:dyDescent="0.4">
      <c r="A43" s="78" t="s">
        <v>56</v>
      </c>
      <c r="B43" s="79">
        <v>1</v>
      </c>
      <c r="C43" s="104" t="s">
        <v>57</v>
      </c>
      <c r="D43" s="105">
        <v>17.489999999999998</v>
      </c>
      <c r="E43" s="49"/>
      <c r="F43" s="105">
        <v>19.73</v>
      </c>
      <c r="H43" s="103"/>
    </row>
    <row r="44" spans="1:14" ht="26.25" customHeight="1" x14ac:dyDescent="0.4">
      <c r="A44" s="78" t="s">
        <v>58</v>
      </c>
      <c r="B44" s="79">
        <v>1</v>
      </c>
      <c r="C44" s="106" t="s">
        <v>59</v>
      </c>
      <c r="D44" s="107">
        <f>D43*$B$34</f>
        <v>17.489999999999998</v>
      </c>
      <c r="E44" s="108"/>
      <c r="F44" s="107">
        <f>F43*$B$34</f>
        <v>19.73</v>
      </c>
      <c r="H44" s="103"/>
    </row>
    <row r="45" spans="1:14" ht="19.5" customHeight="1" thickBot="1" x14ac:dyDescent="0.35">
      <c r="A45" s="78" t="s">
        <v>60</v>
      </c>
      <c r="B45" s="90">
        <f>(B44/B43)*(B42/B41)*(B40/B39)*(B38/B37)*B36</f>
        <v>250</v>
      </c>
      <c r="C45" s="106" t="s">
        <v>61</v>
      </c>
      <c r="D45" s="109">
        <f>D44*$B$30/100</f>
        <v>14.363662499999998</v>
      </c>
      <c r="E45" s="110"/>
      <c r="F45" s="109">
        <f>F44*$B$30/100</f>
        <v>16.203262500000001</v>
      </c>
      <c r="H45" s="103"/>
    </row>
    <row r="46" spans="1:14" ht="19.5" customHeight="1" thickBot="1" x14ac:dyDescent="0.35">
      <c r="A46" s="269" t="s">
        <v>62</v>
      </c>
      <c r="B46" s="273"/>
      <c r="C46" s="106" t="s">
        <v>63</v>
      </c>
      <c r="D46" s="111">
        <f>D45/$B$45</f>
        <v>5.7454649999999996E-2</v>
      </c>
      <c r="E46" s="112"/>
      <c r="F46" s="113">
        <f>F45/$B$45</f>
        <v>6.4813050000000011E-2</v>
      </c>
      <c r="H46" s="103"/>
    </row>
    <row r="47" spans="1:14" ht="27" customHeight="1" thickBot="1" x14ac:dyDescent="0.45">
      <c r="A47" s="271"/>
      <c r="B47" s="274"/>
      <c r="C47" s="114" t="s">
        <v>64</v>
      </c>
      <c r="D47" s="115">
        <v>0.05</v>
      </c>
      <c r="E47" s="116"/>
      <c r="F47" s="112"/>
      <c r="H47" s="103"/>
    </row>
    <row r="48" spans="1:14" ht="18.75" x14ac:dyDescent="0.3">
      <c r="C48" s="117" t="s">
        <v>65</v>
      </c>
      <c r="D48" s="109">
        <f>D47*$B$45</f>
        <v>12.5</v>
      </c>
      <c r="F48" s="118"/>
      <c r="H48" s="103"/>
    </row>
    <row r="49" spans="1:12" ht="19.5" customHeight="1" thickBot="1" x14ac:dyDescent="0.35">
      <c r="C49" s="119" t="s">
        <v>66</v>
      </c>
      <c r="D49" s="120">
        <f>D48/B34</f>
        <v>12.5</v>
      </c>
      <c r="F49" s="118"/>
      <c r="H49" s="103"/>
    </row>
    <row r="50" spans="1:12" ht="18.75" x14ac:dyDescent="0.3">
      <c r="C50" s="76" t="s">
        <v>67</v>
      </c>
      <c r="D50" s="121">
        <f>AVERAGE(E38:E41,G38:G41)</f>
        <v>19578015.148622327</v>
      </c>
      <c r="F50" s="122"/>
      <c r="H50" s="103"/>
    </row>
    <row r="51" spans="1:12" ht="18.75" x14ac:dyDescent="0.3">
      <c r="C51" s="78" t="s">
        <v>68</v>
      </c>
      <c r="D51" s="123">
        <f>STDEV(E38:E41,G38:G41)/D50</f>
        <v>1.7262115806909294E-2</v>
      </c>
      <c r="F51" s="122"/>
      <c r="H51" s="103"/>
    </row>
    <row r="52" spans="1:12" ht="19.5" customHeight="1" thickBot="1" x14ac:dyDescent="0.35">
      <c r="C52" s="124" t="s">
        <v>69</v>
      </c>
      <c r="D52" s="125">
        <f>COUNT(E38:E41,G38:G41)</f>
        <v>5</v>
      </c>
      <c r="F52" s="122"/>
    </row>
    <row r="54" spans="1:12" ht="18.75" x14ac:dyDescent="0.3">
      <c r="A54" s="126" t="s">
        <v>12</v>
      </c>
      <c r="B54" s="127" t="s">
        <v>70</v>
      </c>
    </row>
    <row r="55" spans="1:12" ht="18.75" x14ac:dyDescent="0.3">
      <c r="A55" s="49" t="s">
        <v>71</v>
      </c>
      <c r="B55" s="128" t="str">
        <f>B21</f>
        <v>Each tablet contains cefiroxime 250 mg</v>
      </c>
    </row>
    <row r="56" spans="1:12" ht="26.25" customHeight="1" x14ac:dyDescent="0.4">
      <c r="A56" s="128" t="s">
        <v>72</v>
      </c>
      <c r="B56" s="129">
        <v>250</v>
      </c>
      <c r="C56" s="49" t="str">
        <f>B20</f>
        <v>CEFUROXIME AXETIL</v>
      </c>
      <c r="H56" s="108"/>
    </row>
    <row r="57" spans="1:12" ht="18.75" x14ac:dyDescent="0.3">
      <c r="A57" s="128" t="s">
        <v>73</v>
      </c>
      <c r="B57" s="130">
        <f>Uniformity!C46</f>
        <v>650.01050000000009</v>
      </c>
      <c r="H57" s="108"/>
    </row>
    <row r="58" spans="1:12" ht="19.5" customHeight="1" thickBot="1" x14ac:dyDescent="0.35">
      <c r="H58" s="108"/>
    </row>
    <row r="59" spans="1:12" s="65" customFormat="1" ht="27" customHeight="1" thickBot="1" x14ac:dyDescent="0.45">
      <c r="A59" s="76" t="s">
        <v>74</v>
      </c>
      <c r="B59" s="77">
        <v>100</v>
      </c>
      <c r="C59" s="49"/>
      <c r="D59" s="131" t="s">
        <v>75</v>
      </c>
      <c r="E59" s="132" t="s">
        <v>46</v>
      </c>
      <c r="F59" s="132" t="s">
        <v>47</v>
      </c>
      <c r="G59" s="132" t="s">
        <v>76</v>
      </c>
      <c r="H59" s="80" t="s">
        <v>77</v>
      </c>
      <c r="L59" s="66"/>
    </row>
    <row r="60" spans="1:12" s="65" customFormat="1" ht="26.25" customHeight="1" x14ac:dyDescent="0.4">
      <c r="A60" s="78" t="s">
        <v>78</v>
      </c>
      <c r="B60" s="79">
        <v>5</v>
      </c>
      <c r="C60" s="279" t="s">
        <v>79</v>
      </c>
      <c r="D60" s="282">
        <v>288.27999999999997</v>
      </c>
      <c r="E60" s="133">
        <v>1</v>
      </c>
      <c r="F60" s="134">
        <v>20711431</v>
      </c>
      <c r="G60" s="135">
        <f>IF(ISBLANK(F60),"-",(F60/$D$50*$D$47*$B$68)*($B$57/$D$60))</f>
        <v>238.53235989256731</v>
      </c>
      <c r="H60" s="136">
        <f t="shared" ref="H60:H71" si="0">IF(ISBLANK(F60),"-",G60/$B$56)</f>
        <v>0.9541294395702693</v>
      </c>
      <c r="L60" s="66"/>
    </row>
    <row r="61" spans="1:12" s="65" customFormat="1" ht="26.25" customHeight="1" x14ac:dyDescent="0.4">
      <c r="A61" s="78" t="s">
        <v>80</v>
      </c>
      <c r="B61" s="79">
        <v>100</v>
      </c>
      <c r="C61" s="280"/>
      <c r="D61" s="283"/>
      <c r="E61" s="137">
        <v>2</v>
      </c>
      <c r="F61" s="91">
        <f>10026667+10769513</f>
        <v>20796180</v>
      </c>
      <c r="G61" s="138">
        <f>IF(ISBLANK(F61),"-",(F61/$D$50*$D$47*$B$68)*($B$57/$D$60))</f>
        <v>239.5084092523887</v>
      </c>
      <c r="H61" s="139">
        <f t="shared" si="0"/>
        <v>0.95803363700955479</v>
      </c>
      <c r="L61" s="66"/>
    </row>
    <row r="62" spans="1:12" s="65" customFormat="1" ht="26.25" customHeight="1" x14ac:dyDescent="0.4">
      <c r="A62" s="78" t="s">
        <v>81</v>
      </c>
      <c r="B62" s="79">
        <v>1</v>
      </c>
      <c r="C62" s="280"/>
      <c r="D62" s="283"/>
      <c r="E62" s="137">
        <v>3</v>
      </c>
      <c r="F62" s="140">
        <f>9933094+10933461</f>
        <v>20866555</v>
      </c>
      <c r="G62" s="138">
        <f>IF(ISBLANK(F62),"-",(F62/$D$50*$D$47*$B$68)*($B$57/$D$60))</f>
        <v>240.31891408073392</v>
      </c>
      <c r="H62" s="139">
        <f t="shared" si="0"/>
        <v>0.96127565632293566</v>
      </c>
      <c r="L62" s="66"/>
    </row>
    <row r="63" spans="1:12" ht="27" customHeight="1" thickBot="1" x14ac:dyDescent="0.45">
      <c r="A63" s="78" t="s">
        <v>82</v>
      </c>
      <c r="B63" s="79">
        <v>1</v>
      </c>
      <c r="C63" s="281"/>
      <c r="D63" s="284"/>
      <c r="E63" s="141">
        <v>4</v>
      </c>
      <c r="F63" s="142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8" t="s">
        <v>83</v>
      </c>
      <c r="B64" s="79">
        <v>1</v>
      </c>
      <c r="C64" s="279" t="s">
        <v>84</v>
      </c>
      <c r="D64" s="282">
        <v>313.42</v>
      </c>
      <c r="E64" s="133">
        <v>1</v>
      </c>
      <c r="F64" s="134">
        <v>22486548</v>
      </c>
      <c r="G64" s="143">
        <f>IF(ISBLANK(F64),"-",(F64/$D$50*$D$47*$B$68)*($B$57/$D$64))</f>
        <v>238.20331212995495</v>
      </c>
      <c r="H64" s="144">
        <f t="shared" si="0"/>
        <v>0.95281324851981986</v>
      </c>
    </row>
    <row r="65" spans="1:8" ht="26.25" customHeight="1" x14ac:dyDescent="0.4">
      <c r="A65" s="78" t="s">
        <v>85</v>
      </c>
      <c r="B65" s="79">
        <v>1</v>
      </c>
      <c r="C65" s="280"/>
      <c r="D65" s="283"/>
      <c r="E65" s="137">
        <v>2</v>
      </c>
      <c r="F65" s="91">
        <f>10877083+11750626</f>
        <v>22627709</v>
      </c>
      <c r="G65" s="145">
        <f>IF(ISBLANK(F65),"-",(F65/$D$50*$D$47*$B$68)*($B$57/$D$64))</f>
        <v>239.69865137649364</v>
      </c>
      <c r="H65" s="146">
        <f t="shared" si="0"/>
        <v>0.95879460550597462</v>
      </c>
    </row>
    <row r="66" spans="1:8" ht="26.25" customHeight="1" x14ac:dyDescent="0.4">
      <c r="A66" s="78" t="s">
        <v>86</v>
      </c>
      <c r="B66" s="79">
        <v>1</v>
      </c>
      <c r="C66" s="280"/>
      <c r="D66" s="283"/>
      <c r="E66" s="137">
        <v>3</v>
      </c>
      <c r="F66" s="91">
        <f>10780497+11932606</f>
        <v>22713103</v>
      </c>
      <c r="G66" s="145">
        <f>IF(ISBLANK(F66),"-",(F66/$D$50*$D$47*$B$68)*($B$57/$D$64))</f>
        <v>240.60324258524767</v>
      </c>
      <c r="H66" s="146">
        <f t="shared" si="0"/>
        <v>0.96241297034099071</v>
      </c>
    </row>
    <row r="67" spans="1:8" ht="27" customHeight="1" thickBot="1" x14ac:dyDescent="0.45">
      <c r="A67" s="78" t="s">
        <v>87</v>
      </c>
      <c r="B67" s="79">
        <v>1</v>
      </c>
      <c r="C67" s="281"/>
      <c r="D67" s="284"/>
      <c r="E67" s="141">
        <v>4</v>
      </c>
      <c r="F67" s="142"/>
      <c r="G67" s="147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78" t="s">
        <v>88</v>
      </c>
      <c r="B68" s="149">
        <f>(B67/B66)*(B65/B64)*(B63/B62)*(B61/B60)*B59</f>
        <v>2000</v>
      </c>
      <c r="C68" s="279" t="s">
        <v>89</v>
      </c>
      <c r="D68" s="282">
        <v>344.13</v>
      </c>
      <c r="E68" s="133">
        <v>1</v>
      </c>
      <c r="F68" s="134">
        <f>11994057+12686793</f>
        <v>24680850</v>
      </c>
      <c r="G68" s="143">
        <f>IF(ISBLANK(F68),"-",(F68/$D$50*$D$47*$B$68)*($B$57/$D$68))</f>
        <v>238.11639013710339</v>
      </c>
      <c r="H68" s="139">
        <f t="shared" si="0"/>
        <v>0.95246556054841358</v>
      </c>
    </row>
    <row r="69" spans="1:8" ht="27" customHeight="1" thickBot="1" x14ac:dyDescent="0.45">
      <c r="A69" s="124" t="s">
        <v>90</v>
      </c>
      <c r="B69" s="150">
        <f>(D47*B68)/B56*B57</f>
        <v>260.00420000000003</v>
      </c>
      <c r="C69" s="280"/>
      <c r="D69" s="283"/>
      <c r="E69" s="137">
        <v>2</v>
      </c>
      <c r="F69" s="91">
        <f>11914292+12893456</f>
        <v>24807748</v>
      </c>
      <c r="G69" s="145">
        <f>IF(ISBLANK(F69),"-",(F69/$D$50*$D$47*$B$68)*($B$57/$D$68))</f>
        <v>239.34067915776592</v>
      </c>
      <c r="H69" s="139">
        <f t="shared" si="0"/>
        <v>0.95736271663106365</v>
      </c>
    </row>
    <row r="70" spans="1:8" ht="26.25" customHeight="1" x14ac:dyDescent="0.4">
      <c r="A70" s="293" t="s">
        <v>62</v>
      </c>
      <c r="B70" s="294"/>
      <c r="C70" s="280"/>
      <c r="D70" s="283"/>
      <c r="E70" s="137">
        <v>3</v>
      </c>
      <c r="F70" s="91">
        <f>11796127+12988351</f>
        <v>24784478</v>
      </c>
      <c r="G70" s="145">
        <f>IF(ISBLANK(F70),"-",(F70/$D$50*$D$47*$B$68)*($B$57/$D$68))</f>
        <v>239.11617439401218</v>
      </c>
      <c r="H70" s="139">
        <f t="shared" si="0"/>
        <v>0.95646469757604868</v>
      </c>
    </row>
    <row r="71" spans="1:8" ht="27" customHeight="1" thickBot="1" x14ac:dyDescent="0.45">
      <c r="A71" s="295"/>
      <c r="B71" s="296"/>
      <c r="C71" s="285"/>
      <c r="D71" s="284"/>
      <c r="E71" s="141">
        <v>4</v>
      </c>
      <c r="F71" s="142"/>
      <c r="G71" s="147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08"/>
      <c r="B72" s="108"/>
      <c r="C72" s="108"/>
      <c r="D72" s="108"/>
      <c r="E72" s="108"/>
      <c r="F72" s="108"/>
      <c r="G72" s="152" t="s">
        <v>55</v>
      </c>
      <c r="H72" s="153">
        <f>AVERAGE(H60:H71)</f>
        <v>0.95708361466945235</v>
      </c>
    </row>
    <row r="73" spans="1:8" ht="26.25" customHeight="1" x14ac:dyDescent="0.4">
      <c r="C73" s="108"/>
      <c r="D73" s="108"/>
      <c r="E73" s="108"/>
      <c r="F73" s="108"/>
      <c r="G73" s="154" t="s">
        <v>68</v>
      </c>
      <c r="H73" s="155">
        <f>STDEV(H60:H71)/H72</f>
        <v>3.6672987971915548E-3</v>
      </c>
    </row>
    <row r="74" spans="1:8" ht="27" customHeight="1" thickBot="1" x14ac:dyDescent="0.45">
      <c r="A74" s="108"/>
      <c r="B74" s="108"/>
      <c r="C74" s="108"/>
      <c r="D74" s="108"/>
      <c r="E74" s="110"/>
      <c r="F74" s="108"/>
      <c r="G74" s="156" t="s">
        <v>69</v>
      </c>
      <c r="H74" s="157">
        <f>COUNT(H60:H71)</f>
        <v>9</v>
      </c>
    </row>
    <row r="76" spans="1:8" ht="26.25" customHeight="1" x14ac:dyDescent="0.4">
      <c r="A76" s="61" t="s">
        <v>91</v>
      </c>
      <c r="B76" s="62" t="s">
        <v>92</v>
      </c>
      <c r="C76" s="275" t="str">
        <f>B20</f>
        <v>CEFUROXIME AXETIL</v>
      </c>
      <c r="D76" s="275"/>
      <c r="E76" s="49" t="s">
        <v>93</v>
      </c>
      <c r="F76" s="49"/>
      <c r="G76" s="158">
        <f>H72</f>
        <v>0.95708361466945235</v>
      </c>
      <c r="H76" s="67"/>
    </row>
    <row r="77" spans="1:8" ht="18.75" x14ac:dyDescent="0.3">
      <c r="A77" s="60" t="s">
        <v>94</v>
      </c>
      <c r="B77" s="60" t="s">
        <v>95</v>
      </c>
    </row>
    <row r="78" spans="1:8" ht="18.75" x14ac:dyDescent="0.3">
      <c r="A78" s="60"/>
      <c r="B78" s="60"/>
    </row>
    <row r="79" spans="1:8" ht="26.25" customHeight="1" x14ac:dyDescent="0.4">
      <c r="A79" s="61" t="s">
        <v>29</v>
      </c>
      <c r="B79" s="286" t="str">
        <f>B26</f>
        <v>Cefuroxime Axetil</v>
      </c>
      <c r="C79" s="286"/>
    </row>
    <row r="80" spans="1:8" ht="26.25" customHeight="1" x14ac:dyDescent="0.4">
      <c r="A80" s="62" t="s">
        <v>30</v>
      </c>
      <c r="B80" s="286" t="str">
        <f>B27</f>
        <v>L13-1</v>
      </c>
      <c r="C80" s="286"/>
    </row>
    <row r="81" spans="1:12" ht="27" customHeight="1" thickBot="1" x14ac:dyDescent="0.45">
      <c r="A81" s="62" t="s">
        <v>32</v>
      </c>
      <c r="B81" s="63">
        <f>B28</f>
        <v>82.125</v>
      </c>
    </row>
    <row r="82" spans="1:12" s="65" customFormat="1" ht="27" customHeight="1" thickBot="1" x14ac:dyDescent="0.45">
      <c r="A82" s="62" t="s">
        <v>33</v>
      </c>
      <c r="B82" s="64">
        <v>0</v>
      </c>
      <c r="C82" s="287" t="s">
        <v>34</v>
      </c>
      <c r="D82" s="288"/>
      <c r="E82" s="288"/>
      <c r="F82" s="288"/>
      <c r="G82" s="289"/>
      <c r="I82" s="66"/>
      <c r="J82" s="66"/>
      <c r="K82" s="66"/>
      <c r="L82" s="66"/>
    </row>
    <row r="83" spans="1:12" s="65" customFormat="1" ht="19.5" customHeight="1" thickBot="1" x14ac:dyDescent="0.35">
      <c r="A83" s="62" t="s">
        <v>35</v>
      </c>
      <c r="B83" s="67">
        <f>B81-B82</f>
        <v>82.125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65" customFormat="1" ht="27" customHeight="1" thickBot="1" x14ac:dyDescent="0.45">
      <c r="A84" s="62" t="s">
        <v>36</v>
      </c>
      <c r="B84" s="70">
        <v>1</v>
      </c>
      <c r="C84" s="290" t="s">
        <v>96</v>
      </c>
      <c r="D84" s="291"/>
      <c r="E84" s="291"/>
      <c r="F84" s="291"/>
      <c r="G84" s="291"/>
      <c r="H84" s="292"/>
      <c r="I84" s="66"/>
      <c r="J84" s="66"/>
      <c r="K84" s="66"/>
      <c r="L84" s="66"/>
    </row>
    <row r="85" spans="1:12" s="65" customFormat="1" ht="27" customHeight="1" thickBot="1" x14ac:dyDescent="0.45">
      <c r="A85" s="62" t="s">
        <v>38</v>
      </c>
      <c r="B85" s="70">
        <v>1</v>
      </c>
      <c r="C85" s="290" t="s">
        <v>97</v>
      </c>
      <c r="D85" s="291"/>
      <c r="E85" s="291"/>
      <c r="F85" s="291"/>
      <c r="G85" s="291"/>
      <c r="H85" s="292"/>
      <c r="I85" s="66"/>
      <c r="J85" s="66"/>
      <c r="K85" s="66"/>
      <c r="L85" s="66"/>
    </row>
    <row r="86" spans="1:12" s="65" customFormat="1" ht="18.75" x14ac:dyDescent="0.3">
      <c r="A86" s="62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65" customFormat="1" ht="18.75" x14ac:dyDescent="0.3">
      <c r="A87" s="62" t="s">
        <v>40</v>
      </c>
      <c r="B87" s="75">
        <f>B84/B85</f>
        <v>1</v>
      </c>
      <c r="C87" s="49" t="s">
        <v>41</v>
      </c>
      <c r="D87" s="49"/>
      <c r="E87" s="49"/>
      <c r="F87" s="49"/>
      <c r="G87" s="49"/>
      <c r="I87" s="66"/>
      <c r="J87" s="66"/>
      <c r="K87" s="66"/>
      <c r="L87" s="66"/>
    </row>
    <row r="88" spans="1:12" ht="19.5" customHeight="1" thickBot="1" x14ac:dyDescent="0.35">
      <c r="A88" s="60"/>
      <c r="B88" s="60"/>
    </row>
    <row r="89" spans="1:12" ht="27" customHeight="1" thickBot="1" x14ac:dyDescent="0.45">
      <c r="A89" s="76" t="s">
        <v>42</v>
      </c>
      <c r="B89" s="77">
        <v>25</v>
      </c>
      <c r="D89" s="159" t="s">
        <v>43</v>
      </c>
      <c r="E89" s="160"/>
      <c r="F89" s="277" t="s">
        <v>44</v>
      </c>
      <c r="G89" s="278"/>
    </row>
    <row r="90" spans="1:12" ht="27" customHeight="1" thickBot="1" x14ac:dyDescent="0.45">
      <c r="A90" s="78" t="s">
        <v>45</v>
      </c>
      <c r="B90" s="79">
        <v>2</v>
      </c>
      <c r="C90" s="161" t="s">
        <v>46</v>
      </c>
      <c r="D90" s="81" t="s">
        <v>47</v>
      </c>
      <c r="E90" s="82" t="s">
        <v>48</v>
      </c>
      <c r="F90" s="81" t="s">
        <v>47</v>
      </c>
      <c r="G90" s="162" t="s">
        <v>48</v>
      </c>
      <c r="I90" s="84" t="s">
        <v>49</v>
      </c>
    </row>
    <row r="91" spans="1:12" ht="26.25" customHeight="1" x14ac:dyDescent="0.4">
      <c r="A91" s="78" t="s">
        <v>50</v>
      </c>
      <c r="B91" s="79">
        <v>100</v>
      </c>
      <c r="C91" s="163">
        <v>1</v>
      </c>
      <c r="D91" s="86">
        <v>0.57999999999999996</v>
      </c>
      <c r="E91" s="87">
        <f>IF(ISBLANK(D91),"-",$D$101/$D$98*D91)</f>
        <v>0.53692890552134176</v>
      </c>
      <c r="F91" s="86">
        <v>0.499</v>
      </c>
      <c r="G91" s="88">
        <f>IF(ISBLANK(F91),"-",$D$101/$F$98*F91)</f>
        <v>0.52110664672050044</v>
      </c>
      <c r="I91" s="89"/>
    </row>
    <row r="92" spans="1:12" ht="26.25" customHeight="1" x14ac:dyDescent="0.4">
      <c r="A92" s="78" t="s">
        <v>51</v>
      </c>
      <c r="B92" s="79">
        <v>1</v>
      </c>
      <c r="C92" s="108">
        <v>2</v>
      </c>
      <c r="D92" s="91">
        <v>0.58199999999999996</v>
      </c>
      <c r="E92" s="92">
        <f>IF(ISBLANK(D92),"-",$D$101/$D$98*D92)</f>
        <v>0.53878038450589805</v>
      </c>
      <c r="F92" s="91">
        <v>0.498</v>
      </c>
      <c r="G92" s="93">
        <f>IF(ISBLANK(F92),"-",$D$101/$F$98*F92)</f>
        <v>0.52006234482326497</v>
      </c>
      <c r="I92" s="268">
        <f>ABS((F96/D96*D95)-F95)/D95</f>
        <v>3.0389327015628357E-2</v>
      </c>
    </row>
    <row r="93" spans="1:12" ht="26.25" customHeight="1" x14ac:dyDescent="0.4">
      <c r="A93" s="78" t="s">
        <v>52</v>
      </c>
      <c r="B93" s="79">
        <v>1</v>
      </c>
      <c r="C93" s="108">
        <v>3</v>
      </c>
      <c r="D93" s="91">
        <v>0.58199999999999996</v>
      </c>
      <c r="E93" s="92">
        <f>IF(ISBLANK(D93),"-",$D$101/$D$98*D93)</f>
        <v>0.53878038450589805</v>
      </c>
      <c r="F93" s="91">
        <v>0.496</v>
      </c>
      <c r="G93" s="93">
        <f>IF(ISBLANK(F93),"-",$D$101/$F$98*F93)</f>
        <v>0.51797374102879401</v>
      </c>
      <c r="I93" s="268"/>
    </row>
    <row r="94" spans="1:12" ht="27" customHeight="1" thickBot="1" x14ac:dyDescent="0.45">
      <c r="A94" s="78" t="s">
        <v>53</v>
      </c>
      <c r="B94" s="79">
        <v>1</v>
      </c>
      <c r="C94" s="164">
        <v>4</v>
      </c>
      <c r="D94" s="95"/>
      <c r="E94" s="96" t="str">
        <f>IF(ISBLANK(D94),"-",$D$101/$D$98*D94)</f>
        <v>-</v>
      </c>
      <c r="F94" s="165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54</v>
      </c>
      <c r="B95" s="79">
        <v>1</v>
      </c>
      <c r="C95" s="62" t="s">
        <v>55</v>
      </c>
      <c r="D95" s="166">
        <f>AVERAGE(D91:D94)</f>
        <v>0.58133333333333326</v>
      </c>
      <c r="E95" s="101">
        <f>AVERAGE(E91:E94)</f>
        <v>0.53816322484437928</v>
      </c>
      <c r="F95" s="167">
        <f>AVERAGE(F91:F94)</f>
        <v>0.49766666666666665</v>
      </c>
      <c r="G95" s="168">
        <f>AVERAGE(G91:G94)</f>
        <v>0.51971424419085321</v>
      </c>
    </row>
    <row r="96" spans="1:12" ht="26.25" customHeight="1" x14ac:dyDescent="0.4">
      <c r="A96" s="78" t="s">
        <v>56</v>
      </c>
      <c r="B96" s="63">
        <v>1</v>
      </c>
      <c r="C96" s="169" t="s">
        <v>98</v>
      </c>
      <c r="D96" s="105">
        <v>19.73</v>
      </c>
      <c r="E96" s="49"/>
      <c r="F96" s="105">
        <v>17.489999999999998</v>
      </c>
    </row>
    <row r="97" spans="1:10" ht="26.25" customHeight="1" x14ac:dyDescent="0.4">
      <c r="A97" s="78" t="s">
        <v>58</v>
      </c>
      <c r="B97" s="63">
        <v>1</v>
      </c>
      <c r="C97" s="170" t="s">
        <v>99</v>
      </c>
      <c r="D97" s="171">
        <f>D96*$B$87</f>
        <v>19.73</v>
      </c>
      <c r="E97" s="108"/>
      <c r="F97" s="107">
        <f>F96*$B$87</f>
        <v>17.489999999999998</v>
      </c>
    </row>
    <row r="98" spans="1:10" ht="19.5" customHeight="1" thickBot="1" x14ac:dyDescent="0.35">
      <c r="A98" s="78" t="s">
        <v>60</v>
      </c>
      <c r="B98" s="108">
        <f>(B97/B96)*(B95/B94)*(B93/B92)*(B91/B90)*B89</f>
        <v>1250</v>
      </c>
      <c r="C98" s="170" t="s">
        <v>100</v>
      </c>
      <c r="D98" s="172">
        <f>D97*$B$83/100</f>
        <v>16.203262500000001</v>
      </c>
      <c r="E98" s="110"/>
      <c r="F98" s="109">
        <f>F97*$B$83/100</f>
        <v>14.363662499999998</v>
      </c>
    </row>
    <row r="99" spans="1:10" ht="19.5" customHeight="1" thickBot="1" x14ac:dyDescent="0.35">
      <c r="A99" s="269" t="s">
        <v>62</v>
      </c>
      <c r="B99" s="270"/>
      <c r="C99" s="170" t="s">
        <v>101</v>
      </c>
      <c r="D99" s="173">
        <f>D98/$B$98</f>
        <v>1.2962610000000001E-2</v>
      </c>
      <c r="E99" s="110"/>
      <c r="F99" s="113">
        <f>F98/$B$98</f>
        <v>1.1490929999999998E-2</v>
      </c>
      <c r="H99" s="103"/>
    </row>
    <row r="100" spans="1:10" ht="19.5" customHeight="1" thickBot="1" x14ac:dyDescent="0.35">
      <c r="A100" s="271"/>
      <c r="B100" s="272"/>
      <c r="C100" s="170" t="s">
        <v>64</v>
      </c>
      <c r="D100" s="174">
        <v>1.2E-2</v>
      </c>
      <c r="F100" s="118"/>
      <c r="G100" s="175"/>
      <c r="H100" s="103"/>
    </row>
    <row r="101" spans="1:10" ht="18.75" x14ac:dyDescent="0.3">
      <c r="C101" s="170" t="s">
        <v>65</v>
      </c>
      <c r="D101" s="171">
        <f>D100*$B$98</f>
        <v>15</v>
      </c>
      <c r="F101" s="118"/>
      <c r="H101" s="103"/>
    </row>
    <row r="102" spans="1:10" ht="19.5" customHeight="1" thickBot="1" x14ac:dyDescent="0.35">
      <c r="C102" s="176" t="s">
        <v>66</v>
      </c>
      <c r="D102" s="177">
        <f>D101/B34</f>
        <v>15</v>
      </c>
      <c r="F102" s="122"/>
      <c r="H102" s="103"/>
      <c r="J102" s="178"/>
    </row>
    <row r="103" spans="1:10" ht="18.75" x14ac:dyDescent="0.3">
      <c r="C103" s="179" t="s">
        <v>102</v>
      </c>
      <c r="D103" s="180">
        <f>AVERAGE(E91:E94,G91:G94)</f>
        <v>0.52893873451761619</v>
      </c>
      <c r="F103" s="122"/>
      <c r="G103" s="175"/>
      <c r="H103" s="103"/>
      <c r="J103" s="181"/>
    </row>
    <row r="104" spans="1:10" ht="18.75" x14ac:dyDescent="0.3">
      <c r="C104" s="154" t="s">
        <v>68</v>
      </c>
      <c r="D104" s="182">
        <f>STDEV(E91:E94,G91:G94)/D103</f>
        <v>1.9241626823113978E-2</v>
      </c>
      <c r="F104" s="122"/>
      <c r="H104" s="103"/>
      <c r="J104" s="181"/>
    </row>
    <row r="105" spans="1:10" ht="19.5" customHeight="1" thickBot="1" x14ac:dyDescent="0.35">
      <c r="C105" s="156" t="s">
        <v>69</v>
      </c>
      <c r="D105" s="183">
        <f>COUNT(E91:E94,G91:G94)</f>
        <v>6</v>
      </c>
      <c r="F105" s="122"/>
      <c r="H105" s="103"/>
      <c r="J105" s="181"/>
    </row>
    <row r="106" spans="1:10" ht="19.5" customHeight="1" thickBot="1" x14ac:dyDescent="0.35">
      <c r="A106" s="126"/>
      <c r="B106" s="126"/>
      <c r="C106" s="126"/>
      <c r="D106" s="126"/>
      <c r="E106" s="126"/>
    </row>
    <row r="107" spans="1:10" ht="26.25" customHeight="1" x14ac:dyDescent="0.4">
      <c r="A107" s="76" t="s">
        <v>103</v>
      </c>
      <c r="B107" s="77">
        <v>900</v>
      </c>
      <c r="C107" s="159" t="s">
        <v>104</v>
      </c>
      <c r="D107" s="184" t="s">
        <v>47</v>
      </c>
      <c r="E107" s="185" t="s">
        <v>105</v>
      </c>
      <c r="F107" s="186" t="s">
        <v>106</v>
      </c>
    </row>
    <row r="108" spans="1:10" ht="26.25" customHeight="1" x14ac:dyDescent="0.4">
      <c r="A108" s="78" t="s">
        <v>107</v>
      </c>
      <c r="B108" s="79">
        <v>2</v>
      </c>
      <c r="C108" s="187">
        <v>1</v>
      </c>
      <c r="D108" s="188">
        <v>0.50800000000000001</v>
      </c>
      <c r="E108" s="189">
        <f t="shared" ref="E108:E113" si="1">IF(ISBLANK(D108),"-",D108/$D$103*$D$100*$B$116)</f>
        <v>259.3116953801611</v>
      </c>
      <c r="F108" s="190">
        <f t="shared" ref="F108:F113" si="2">IF(ISBLANK(D108), "-", E108/$B$56)</f>
        <v>1.0372467815206443</v>
      </c>
    </row>
    <row r="109" spans="1:10" ht="26.25" customHeight="1" x14ac:dyDescent="0.4">
      <c r="A109" s="78" t="s">
        <v>80</v>
      </c>
      <c r="B109" s="79">
        <v>50</v>
      </c>
      <c r="C109" s="187">
        <v>2</v>
      </c>
      <c r="D109" s="188">
        <v>0.54200000000000004</v>
      </c>
      <c r="E109" s="191">
        <f t="shared" si="1"/>
        <v>276.66720255127427</v>
      </c>
      <c r="F109" s="192">
        <f t="shared" si="2"/>
        <v>1.106668810205097</v>
      </c>
    </row>
    <row r="110" spans="1:10" ht="26.25" customHeight="1" x14ac:dyDescent="0.4">
      <c r="A110" s="78" t="s">
        <v>81</v>
      </c>
      <c r="B110" s="79">
        <v>1</v>
      </c>
      <c r="C110" s="187">
        <v>3</v>
      </c>
      <c r="D110" s="188">
        <v>0.52600000000000002</v>
      </c>
      <c r="E110" s="191">
        <f t="shared" si="1"/>
        <v>268.49990505898575</v>
      </c>
      <c r="F110" s="192">
        <f t="shared" si="2"/>
        <v>1.073999620235943</v>
      </c>
    </row>
    <row r="111" spans="1:10" ht="26.25" customHeight="1" x14ac:dyDescent="0.4">
      <c r="A111" s="78" t="s">
        <v>82</v>
      </c>
      <c r="B111" s="79">
        <v>1</v>
      </c>
      <c r="C111" s="187">
        <v>4</v>
      </c>
      <c r="D111" s="188">
        <v>0.50600000000000001</v>
      </c>
      <c r="E111" s="191">
        <f t="shared" si="1"/>
        <v>258.29078319362509</v>
      </c>
      <c r="F111" s="192">
        <f t="shared" si="2"/>
        <v>1.0331631327745003</v>
      </c>
    </row>
    <row r="112" spans="1:10" ht="26.25" customHeight="1" x14ac:dyDescent="0.4">
      <c r="A112" s="78" t="s">
        <v>83</v>
      </c>
      <c r="B112" s="79">
        <v>1</v>
      </c>
      <c r="C112" s="187">
        <v>5</v>
      </c>
      <c r="D112" s="188">
        <v>0.47399999999999998</v>
      </c>
      <c r="E112" s="191">
        <f t="shared" si="1"/>
        <v>241.95618820904795</v>
      </c>
      <c r="F112" s="192">
        <f t="shared" si="2"/>
        <v>0.96782475283619185</v>
      </c>
    </row>
    <row r="113" spans="1:10" ht="26.25" customHeight="1" x14ac:dyDescent="0.4">
      <c r="A113" s="78" t="s">
        <v>85</v>
      </c>
      <c r="B113" s="79">
        <v>1</v>
      </c>
      <c r="C113" s="193">
        <v>6</v>
      </c>
      <c r="D113" s="194">
        <v>0.51700000000000002</v>
      </c>
      <c r="E113" s="195">
        <f t="shared" si="1"/>
        <v>263.90580021957345</v>
      </c>
      <c r="F113" s="196">
        <f t="shared" si="2"/>
        <v>1.0556232008782938</v>
      </c>
    </row>
    <row r="114" spans="1:10" ht="26.25" customHeight="1" x14ac:dyDescent="0.4">
      <c r="A114" s="78" t="s">
        <v>86</v>
      </c>
      <c r="B114" s="79">
        <v>1</v>
      </c>
      <c r="C114" s="187"/>
      <c r="D114" s="108"/>
      <c r="E114" s="49"/>
      <c r="F114" s="197"/>
    </row>
    <row r="115" spans="1:10" ht="26.25" customHeight="1" x14ac:dyDescent="0.4">
      <c r="A115" s="78" t="s">
        <v>87</v>
      </c>
      <c r="B115" s="79">
        <v>1</v>
      </c>
      <c r="C115" s="187"/>
      <c r="D115" s="198"/>
      <c r="E115" s="199" t="s">
        <v>55</v>
      </c>
      <c r="F115" s="200">
        <f>AVERAGE(F108:F113)</f>
        <v>1.0457543830751117</v>
      </c>
    </row>
    <row r="116" spans="1:10" ht="27" customHeight="1" thickBot="1" x14ac:dyDescent="0.45">
      <c r="A116" s="78" t="s">
        <v>88</v>
      </c>
      <c r="B116" s="90">
        <f>(B115/B114)*(B113/B112)*(B111/B110)*(B109/B108)*B107</f>
        <v>22500</v>
      </c>
      <c r="C116" s="201"/>
      <c r="D116" s="202"/>
      <c r="E116" s="62" t="s">
        <v>68</v>
      </c>
      <c r="F116" s="203">
        <f>STDEV(F108:F113)/F115</f>
        <v>4.4667507558242163E-2</v>
      </c>
      <c r="I116" s="49"/>
    </row>
    <row r="117" spans="1:10" ht="27" customHeight="1" thickBot="1" x14ac:dyDescent="0.45">
      <c r="A117" s="269" t="s">
        <v>62</v>
      </c>
      <c r="B117" s="273"/>
      <c r="C117" s="204"/>
      <c r="D117" s="205"/>
      <c r="E117" s="206" t="s">
        <v>69</v>
      </c>
      <c r="F117" s="207">
        <f>COUNT(F108:F113)</f>
        <v>6</v>
      </c>
      <c r="I117" s="49"/>
      <c r="J117" s="181"/>
    </row>
    <row r="118" spans="1:10" ht="19.5" customHeight="1" thickBot="1" x14ac:dyDescent="0.35">
      <c r="A118" s="271"/>
      <c r="B118" s="274"/>
      <c r="C118" s="49"/>
      <c r="D118" s="49"/>
      <c r="E118" s="49"/>
      <c r="F118" s="108"/>
      <c r="G118" s="49"/>
      <c r="H118" s="49"/>
      <c r="I118" s="49"/>
    </row>
    <row r="119" spans="1:10" ht="18.75" x14ac:dyDescent="0.3">
      <c r="A119" s="208"/>
      <c r="B119" s="74"/>
      <c r="C119" s="49"/>
      <c r="D119" s="49"/>
      <c r="E119" s="49"/>
      <c r="F119" s="108"/>
      <c r="G119" s="49"/>
      <c r="H119" s="49"/>
      <c r="I119" s="49"/>
    </row>
    <row r="120" spans="1:10" ht="26.25" customHeight="1" x14ac:dyDescent="0.4">
      <c r="A120" s="61" t="s">
        <v>91</v>
      </c>
      <c r="B120" s="62" t="s">
        <v>108</v>
      </c>
      <c r="C120" s="275" t="str">
        <f>B20</f>
        <v>CEFUROXIME AXETIL</v>
      </c>
      <c r="D120" s="275"/>
      <c r="E120" s="49" t="s">
        <v>109</v>
      </c>
      <c r="F120" s="49"/>
      <c r="G120" s="158">
        <f>F115</f>
        <v>1.0457543830751117</v>
      </c>
      <c r="H120" s="49"/>
      <c r="I120" s="49"/>
    </row>
    <row r="121" spans="1:10" ht="19.5" customHeight="1" thickBo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276" t="s">
        <v>19</v>
      </c>
      <c r="C122" s="276"/>
      <c r="E122" s="161" t="s">
        <v>20</v>
      </c>
      <c r="F122" s="211"/>
      <c r="G122" s="276" t="s">
        <v>21</v>
      </c>
      <c r="H122" s="276"/>
    </row>
    <row r="123" spans="1:10" ht="69.95" customHeight="1" x14ac:dyDescent="0.3">
      <c r="A123" s="61" t="s">
        <v>22</v>
      </c>
      <c r="B123" s="331" t="s">
        <v>138</v>
      </c>
      <c r="C123" s="212"/>
      <c r="E123" s="212"/>
      <c r="F123" s="49"/>
      <c r="G123" s="212"/>
      <c r="H123" s="212"/>
    </row>
    <row r="124" spans="1:10" ht="69.95" customHeight="1" x14ac:dyDescent="0.3">
      <c r="A124" s="61" t="s">
        <v>23</v>
      </c>
      <c r="B124" s="213"/>
      <c r="C124" s="213"/>
      <c r="E124" s="213"/>
      <c r="F124" s="49"/>
      <c r="G124" s="214"/>
      <c r="H124" s="214"/>
    </row>
    <row r="125" spans="1:10" ht="18.75" x14ac:dyDescent="0.3">
      <c r="A125" s="108"/>
      <c r="B125" s="108"/>
      <c r="C125" s="108"/>
      <c r="D125" s="108"/>
      <c r="E125" s="108"/>
      <c r="F125" s="110"/>
      <c r="G125" s="108"/>
      <c r="H125" s="108"/>
      <c r="I125" s="49"/>
    </row>
    <row r="126" spans="1:10" ht="18.75" x14ac:dyDescent="0.3">
      <c r="A126" s="108"/>
      <c r="B126" s="108"/>
      <c r="C126" s="108"/>
      <c r="D126" s="108"/>
      <c r="E126" s="108"/>
      <c r="F126" s="110"/>
      <c r="G126" s="108"/>
      <c r="H126" s="108"/>
      <c r="I126" s="49"/>
    </row>
    <row r="127" spans="1:10" ht="18.75" x14ac:dyDescent="0.3">
      <c r="A127" s="108"/>
      <c r="B127" s="108"/>
      <c r="C127" s="108"/>
      <c r="D127" s="108"/>
      <c r="E127" s="108"/>
      <c r="F127" s="110"/>
      <c r="G127" s="108"/>
      <c r="H127" s="108"/>
      <c r="I127" s="49"/>
    </row>
    <row r="128" spans="1:10" ht="18.75" x14ac:dyDescent="0.3">
      <c r="A128" s="108"/>
      <c r="B128" s="108"/>
      <c r="C128" s="108"/>
      <c r="D128" s="108"/>
      <c r="E128" s="108"/>
      <c r="F128" s="110"/>
      <c r="G128" s="108"/>
      <c r="H128" s="108"/>
      <c r="I128" s="49"/>
    </row>
    <row r="129" spans="1:9" ht="18.75" x14ac:dyDescent="0.3">
      <c r="A129" s="108"/>
      <c r="B129" s="108"/>
      <c r="C129" s="108"/>
      <c r="D129" s="108"/>
      <c r="E129" s="108"/>
      <c r="F129" s="110"/>
      <c r="G129" s="108"/>
      <c r="H129" s="108"/>
      <c r="I129" s="49"/>
    </row>
    <row r="130" spans="1:9" ht="18.75" x14ac:dyDescent="0.3">
      <c r="A130" s="108"/>
      <c r="B130" s="108"/>
      <c r="C130" s="108"/>
      <c r="D130" s="108"/>
      <c r="E130" s="108"/>
      <c r="F130" s="110"/>
      <c r="G130" s="108"/>
      <c r="H130" s="108"/>
      <c r="I130" s="49"/>
    </row>
    <row r="131" spans="1:9" ht="18.75" x14ac:dyDescent="0.3">
      <c r="A131" s="108"/>
      <c r="B131" s="108"/>
      <c r="C131" s="108"/>
      <c r="D131" s="108"/>
      <c r="E131" s="108"/>
      <c r="F131" s="110"/>
      <c r="G131" s="108"/>
      <c r="H131" s="108"/>
      <c r="I131" s="49"/>
    </row>
    <row r="132" spans="1:9" ht="18.75" x14ac:dyDescent="0.3">
      <c r="A132" s="108"/>
      <c r="B132" s="108"/>
      <c r="C132" s="108"/>
      <c r="D132" s="108"/>
      <c r="E132" s="108"/>
      <c r="F132" s="110"/>
      <c r="G132" s="108"/>
      <c r="H132" s="108"/>
      <c r="I132" s="49"/>
    </row>
    <row r="133" spans="1:9" ht="18.75" x14ac:dyDescent="0.3">
      <c r="A133" s="108"/>
      <c r="B133" s="108"/>
      <c r="C133" s="108"/>
      <c r="D133" s="108"/>
      <c r="E133" s="108"/>
      <c r="F133" s="110"/>
      <c r="G133" s="108"/>
      <c r="H133" s="108"/>
      <c r="I133" s="49"/>
    </row>
    <row r="250" spans="1:1" x14ac:dyDescent="0.25">
      <c r="A250" s="48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2" zoomScale="60" zoomScaleNormal="40" workbookViewId="0">
      <selection activeCell="E116" sqref="E116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98" t="s">
        <v>24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25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 x14ac:dyDescent="0.35">
      <c r="A15" s="49"/>
    </row>
    <row r="16" spans="1:9" ht="19.5" customHeight="1" thickBot="1" x14ac:dyDescent="0.35">
      <c r="A16" s="300" t="s">
        <v>0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26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51" t="s">
        <v>2</v>
      </c>
      <c r="B18" s="304" t="s">
        <v>127</v>
      </c>
      <c r="C18" s="304"/>
      <c r="D18" s="52"/>
      <c r="E18" s="53"/>
      <c r="F18" s="54"/>
      <c r="G18" s="54"/>
      <c r="H18" s="54"/>
    </row>
    <row r="19" spans="1:14" ht="26.25" customHeight="1" x14ac:dyDescent="0.4">
      <c r="A19" s="51" t="s">
        <v>4</v>
      </c>
      <c r="B19" s="55" t="s">
        <v>5</v>
      </c>
      <c r="C19" s="56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6</v>
      </c>
      <c r="B20" s="305" t="s">
        <v>131</v>
      </c>
      <c r="C20" s="305"/>
      <c r="D20" s="54"/>
      <c r="E20" s="54"/>
      <c r="F20" s="54"/>
      <c r="G20" s="54"/>
      <c r="H20" s="54"/>
    </row>
    <row r="21" spans="1:14" ht="26.25" customHeight="1" x14ac:dyDescent="0.4">
      <c r="A21" s="51" t="s">
        <v>8</v>
      </c>
      <c r="B21" s="305" t="s">
        <v>132</v>
      </c>
      <c r="C21" s="305"/>
      <c r="D21" s="305"/>
      <c r="E21" s="305"/>
      <c r="F21" s="305"/>
      <c r="G21" s="305"/>
      <c r="H21" s="305"/>
      <c r="I21" s="57"/>
    </row>
    <row r="22" spans="1:14" ht="26.25" customHeight="1" x14ac:dyDescent="0.4">
      <c r="A22" s="51" t="s">
        <v>10</v>
      </c>
      <c r="B22" s="58" t="s">
        <v>27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11</v>
      </c>
      <c r="B23" s="58" t="s">
        <v>28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9"/>
    </row>
    <row r="25" spans="1:14" ht="18.75" x14ac:dyDescent="0.3">
      <c r="A25" s="60" t="s">
        <v>12</v>
      </c>
      <c r="B25" s="59"/>
    </row>
    <row r="26" spans="1:14" ht="26.25" customHeight="1" x14ac:dyDescent="0.4">
      <c r="A26" s="61" t="s">
        <v>29</v>
      </c>
      <c r="B26" s="304" t="s">
        <v>133</v>
      </c>
      <c r="C26" s="304"/>
    </row>
    <row r="27" spans="1:14" ht="26.25" customHeight="1" x14ac:dyDescent="0.4">
      <c r="A27" s="62" t="s">
        <v>30</v>
      </c>
      <c r="B27" s="306" t="s">
        <v>31</v>
      </c>
      <c r="C27" s="306"/>
    </row>
    <row r="28" spans="1:14" ht="27" customHeight="1" thickBot="1" x14ac:dyDescent="0.45">
      <c r="A28" s="62" t="s">
        <v>32</v>
      </c>
      <c r="B28" s="63">
        <v>96.4</v>
      </c>
    </row>
    <row r="29" spans="1:14" s="65" customFormat="1" ht="27" customHeight="1" thickBot="1" x14ac:dyDescent="0.45">
      <c r="A29" s="62" t="s">
        <v>33</v>
      </c>
      <c r="B29" s="64">
        <v>0</v>
      </c>
      <c r="C29" s="287" t="s">
        <v>34</v>
      </c>
      <c r="D29" s="288"/>
      <c r="E29" s="288"/>
      <c r="F29" s="288"/>
      <c r="G29" s="289"/>
      <c r="I29" s="66"/>
      <c r="J29" s="66"/>
      <c r="K29" s="66"/>
      <c r="L29" s="66"/>
    </row>
    <row r="30" spans="1:14" s="65" customFormat="1" ht="19.5" customHeight="1" thickBot="1" x14ac:dyDescent="0.35">
      <c r="A30" s="62" t="s">
        <v>35</v>
      </c>
      <c r="B30" s="67">
        <f>B28-B29</f>
        <v>96.4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65" customFormat="1" ht="27" customHeight="1" thickBot="1" x14ac:dyDescent="0.45">
      <c r="A31" s="62" t="s">
        <v>36</v>
      </c>
      <c r="B31" s="70">
        <v>1</v>
      </c>
      <c r="C31" s="290" t="s">
        <v>37</v>
      </c>
      <c r="D31" s="291"/>
      <c r="E31" s="291"/>
      <c r="F31" s="291"/>
      <c r="G31" s="291"/>
      <c r="H31" s="292"/>
      <c r="I31" s="66"/>
      <c r="J31" s="66"/>
      <c r="K31" s="66"/>
      <c r="L31" s="66"/>
    </row>
    <row r="32" spans="1:14" s="65" customFormat="1" ht="27" customHeight="1" thickBot="1" x14ac:dyDescent="0.45">
      <c r="A32" s="62" t="s">
        <v>38</v>
      </c>
      <c r="B32" s="70">
        <v>1</v>
      </c>
      <c r="C32" s="290" t="s">
        <v>39</v>
      </c>
      <c r="D32" s="291"/>
      <c r="E32" s="291"/>
      <c r="F32" s="291"/>
      <c r="G32" s="291"/>
      <c r="H32" s="292"/>
      <c r="I32" s="66"/>
      <c r="J32" s="66"/>
      <c r="K32" s="66"/>
      <c r="L32" s="71"/>
      <c r="M32" s="71"/>
      <c r="N32" s="72"/>
    </row>
    <row r="33" spans="1:14" s="65" customFormat="1" ht="17.25" customHeight="1" x14ac:dyDescent="0.3">
      <c r="A33" s="62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65" customFormat="1" ht="18.75" x14ac:dyDescent="0.3">
      <c r="A34" s="62" t="s">
        <v>40</v>
      </c>
      <c r="B34" s="75">
        <f>B31/B32</f>
        <v>1</v>
      </c>
      <c r="C34" s="49" t="s">
        <v>41</v>
      </c>
      <c r="D34" s="49"/>
      <c r="E34" s="49"/>
      <c r="F34" s="49"/>
      <c r="G34" s="49"/>
      <c r="I34" s="66"/>
      <c r="J34" s="66"/>
      <c r="K34" s="66"/>
      <c r="L34" s="71"/>
      <c r="M34" s="71"/>
      <c r="N34" s="72"/>
    </row>
    <row r="35" spans="1:14" s="65" customFormat="1" ht="19.5" customHeight="1" thickBot="1" x14ac:dyDescent="0.35">
      <c r="A35" s="62"/>
      <c r="B35" s="67"/>
      <c r="G35" s="49"/>
      <c r="I35" s="66"/>
      <c r="J35" s="66"/>
      <c r="K35" s="66"/>
      <c r="L35" s="71"/>
      <c r="M35" s="71"/>
      <c r="N35" s="72"/>
    </row>
    <row r="36" spans="1:14" s="65" customFormat="1" ht="27" customHeight="1" thickBot="1" x14ac:dyDescent="0.45">
      <c r="A36" s="76" t="s">
        <v>42</v>
      </c>
      <c r="B36" s="77">
        <v>25</v>
      </c>
      <c r="C36" s="49"/>
      <c r="D36" s="277" t="s">
        <v>43</v>
      </c>
      <c r="E36" s="297"/>
      <c r="F36" s="277" t="s">
        <v>44</v>
      </c>
      <c r="G36" s="278"/>
      <c r="J36" s="66"/>
      <c r="K36" s="66"/>
      <c r="L36" s="71"/>
      <c r="M36" s="71"/>
      <c r="N36" s="72"/>
    </row>
    <row r="37" spans="1:14" s="65" customFormat="1" ht="27" customHeight="1" thickBot="1" x14ac:dyDescent="0.45">
      <c r="A37" s="78" t="s">
        <v>45</v>
      </c>
      <c r="B37" s="79">
        <v>2</v>
      </c>
      <c r="C37" s="80" t="s">
        <v>46</v>
      </c>
      <c r="D37" s="81" t="s">
        <v>47</v>
      </c>
      <c r="E37" s="82" t="s">
        <v>48</v>
      </c>
      <c r="F37" s="81" t="s">
        <v>47</v>
      </c>
      <c r="G37" s="83" t="s">
        <v>48</v>
      </c>
      <c r="I37" s="84" t="s">
        <v>49</v>
      </c>
      <c r="J37" s="66"/>
      <c r="K37" s="66"/>
      <c r="L37" s="71"/>
      <c r="M37" s="71"/>
      <c r="N37" s="72"/>
    </row>
    <row r="38" spans="1:14" s="65" customFormat="1" ht="26.25" customHeight="1" x14ac:dyDescent="0.4">
      <c r="A38" s="78" t="s">
        <v>50</v>
      </c>
      <c r="B38" s="79">
        <v>100</v>
      </c>
      <c r="C38" s="85">
        <v>1</v>
      </c>
      <c r="D38" s="86">
        <v>4521177</v>
      </c>
      <c r="E38" s="87">
        <f>IF(ISBLANK(D38),"-",$D$48/$D$45*D38)</f>
        <v>4848563.8284858689</v>
      </c>
      <c r="F38" s="86">
        <v>4938305</v>
      </c>
      <c r="G38" s="88">
        <f>IF(ISBLANK(F38),"-",$D$48/$F$45*F38)</f>
        <v>4986218.1962953517</v>
      </c>
      <c r="I38" s="89"/>
      <c r="J38" s="66"/>
      <c r="K38" s="66"/>
      <c r="L38" s="71"/>
      <c r="M38" s="71"/>
      <c r="N38" s="72"/>
    </row>
    <row r="39" spans="1:14" s="65" customFormat="1" ht="26.25" customHeight="1" x14ac:dyDescent="0.4">
      <c r="A39" s="78" t="s">
        <v>51</v>
      </c>
      <c r="B39" s="79">
        <v>1</v>
      </c>
      <c r="C39" s="90">
        <v>2</v>
      </c>
      <c r="D39" s="91">
        <v>4515597</v>
      </c>
      <c r="E39" s="92">
        <f>IF(ISBLANK(D39),"-",$D$48/$D$45*D39)</f>
        <v>4842579.7703162925</v>
      </c>
      <c r="F39" s="91">
        <v>4922947</v>
      </c>
      <c r="G39" s="93">
        <f>IF(ISBLANK(F39),"-",$D$48/$F$45*F39)</f>
        <v>4970711.1875021113</v>
      </c>
      <c r="I39" s="268">
        <f>ABS((F43/D43*D42)-F42)/D42</f>
        <v>2.8248537631656263E-2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52</v>
      </c>
      <c r="B40" s="79">
        <v>1</v>
      </c>
      <c r="C40" s="90">
        <v>3</v>
      </c>
      <c r="D40" s="91">
        <v>4524178</v>
      </c>
      <c r="E40" s="92">
        <f>IF(ISBLANK(D40),"-",$D$48/$D$45*D40)</f>
        <v>4851782.1364727682</v>
      </c>
      <c r="F40" s="91">
        <v>4925006</v>
      </c>
      <c r="G40" s="93">
        <f>IF(ISBLANK(F40),"-",$D$48/$F$45*F40)</f>
        <v>4972790.1646544281</v>
      </c>
      <c r="I40" s="268"/>
      <c r="L40" s="71"/>
      <c r="M40" s="71"/>
      <c r="N40" s="49"/>
    </row>
    <row r="41" spans="1:14" ht="27" customHeight="1" thickBot="1" x14ac:dyDescent="0.45">
      <c r="A41" s="78" t="s">
        <v>53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49"/>
    </row>
    <row r="42" spans="1:14" ht="27" customHeight="1" thickBot="1" x14ac:dyDescent="0.45">
      <c r="A42" s="78" t="s">
        <v>54</v>
      </c>
      <c r="B42" s="79">
        <v>1</v>
      </c>
      <c r="C42" s="99" t="s">
        <v>55</v>
      </c>
      <c r="D42" s="100">
        <f>AVERAGE(D38:D41)</f>
        <v>4520317.333333333</v>
      </c>
      <c r="E42" s="101">
        <f>AVERAGE(E38:E41)</f>
        <v>4847641.9117583102</v>
      </c>
      <c r="F42" s="100">
        <f>AVERAGE(F38:F41)</f>
        <v>4928752.666666667</v>
      </c>
      <c r="G42" s="102">
        <f>AVERAGE(G38:G41)</f>
        <v>4976573.1828172971</v>
      </c>
      <c r="H42" s="103"/>
    </row>
    <row r="43" spans="1:14" ht="26.25" customHeight="1" x14ac:dyDescent="0.4">
      <c r="A43" s="78" t="s">
        <v>56</v>
      </c>
      <c r="B43" s="79">
        <v>1</v>
      </c>
      <c r="C43" s="104" t="s">
        <v>57</v>
      </c>
      <c r="D43" s="105">
        <v>12.72</v>
      </c>
      <c r="E43" s="49"/>
      <c r="F43" s="105">
        <v>13.51</v>
      </c>
      <c r="H43" s="103"/>
    </row>
    <row r="44" spans="1:14" ht="26.25" customHeight="1" x14ac:dyDescent="0.4">
      <c r="A44" s="78" t="s">
        <v>58</v>
      </c>
      <c r="B44" s="79">
        <v>1</v>
      </c>
      <c r="C44" s="106" t="s">
        <v>59</v>
      </c>
      <c r="D44" s="107">
        <f>D43*$B$34</f>
        <v>12.72</v>
      </c>
      <c r="E44" s="108"/>
      <c r="F44" s="107">
        <f>F43*$B$34</f>
        <v>13.51</v>
      </c>
      <c r="H44" s="103"/>
    </row>
    <row r="45" spans="1:14" ht="19.5" customHeight="1" thickBot="1" x14ac:dyDescent="0.35">
      <c r="A45" s="78" t="s">
        <v>60</v>
      </c>
      <c r="B45" s="90">
        <f>(B44/B43)*(B42/B41)*(B40/B39)*(B38/B37)*B36</f>
        <v>1250</v>
      </c>
      <c r="C45" s="106" t="s">
        <v>61</v>
      </c>
      <c r="D45" s="109">
        <f>D44*$B$30/100</f>
        <v>12.262080000000001</v>
      </c>
      <c r="E45" s="110"/>
      <c r="F45" s="109">
        <f>F44*$B$30/100</f>
        <v>13.02364</v>
      </c>
      <c r="H45" s="103"/>
    </row>
    <row r="46" spans="1:14" ht="19.5" customHeight="1" thickBot="1" x14ac:dyDescent="0.35">
      <c r="A46" s="269" t="s">
        <v>62</v>
      </c>
      <c r="B46" s="273"/>
      <c r="C46" s="106" t="s">
        <v>63</v>
      </c>
      <c r="D46" s="111">
        <f>D45/$B$45</f>
        <v>9.8096640000000009E-3</v>
      </c>
      <c r="E46" s="112"/>
      <c r="F46" s="113">
        <f>F45/$B$45</f>
        <v>1.0418912000000001E-2</v>
      </c>
      <c r="H46" s="103"/>
    </row>
    <row r="47" spans="1:14" ht="27" customHeight="1" thickBot="1" x14ac:dyDescent="0.45">
      <c r="A47" s="271"/>
      <c r="B47" s="274"/>
      <c r="C47" s="114" t="s">
        <v>64</v>
      </c>
      <c r="D47" s="115">
        <v>1.052E-2</v>
      </c>
      <c r="E47" s="116"/>
      <c r="F47" s="112"/>
      <c r="H47" s="103"/>
    </row>
    <row r="48" spans="1:14" ht="18.75" x14ac:dyDescent="0.3">
      <c r="C48" s="117" t="s">
        <v>65</v>
      </c>
      <c r="D48" s="109">
        <f>D47*$B$45</f>
        <v>13.15</v>
      </c>
      <c r="F48" s="118"/>
      <c r="H48" s="103"/>
    </row>
    <row r="49" spans="1:12" ht="19.5" customHeight="1" thickBot="1" x14ac:dyDescent="0.35">
      <c r="C49" s="119" t="s">
        <v>66</v>
      </c>
      <c r="D49" s="120">
        <f>D48/B34</f>
        <v>13.15</v>
      </c>
      <c r="F49" s="118"/>
      <c r="H49" s="103"/>
    </row>
    <row r="50" spans="1:12" ht="18.75" x14ac:dyDescent="0.3">
      <c r="C50" s="76" t="s">
        <v>67</v>
      </c>
      <c r="D50" s="121">
        <f>AVERAGE(E38:E41,G38:G41)</f>
        <v>4912107.5472878031</v>
      </c>
      <c r="F50" s="122"/>
      <c r="H50" s="103"/>
    </row>
    <row r="51" spans="1:12" ht="18.75" x14ac:dyDescent="0.3">
      <c r="C51" s="78" t="s">
        <v>68</v>
      </c>
      <c r="D51" s="123">
        <f>STDEV(E38:E41,G38:G41)/D50</f>
        <v>1.4429753210270522E-2</v>
      </c>
      <c r="F51" s="122"/>
      <c r="H51" s="103"/>
    </row>
    <row r="52" spans="1:12" ht="19.5" customHeight="1" thickBot="1" x14ac:dyDescent="0.35">
      <c r="C52" s="124" t="s">
        <v>69</v>
      </c>
      <c r="D52" s="125">
        <f>COUNT(E38:E41,G38:G41)</f>
        <v>6</v>
      </c>
      <c r="F52" s="122"/>
    </row>
    <row r="54" spans="1:12" ht="18.75" x14ac:dyDescent="0.3">
      <c r="A54" s="126" t="s">
        <v>12</v>
      </c>
      <c r="B54" s="127" t="s">
        <v>70</v>
      </c>
    </row>
    <row r="55" spans="1:12" ht="18.75" x14ac:dyDescent="0.3">
      <c r="A55" s="49" t="s">
        <v>71</v>
      </c>
      <c r="B55" s="128" t="str">
        <f>B21</f>
        <v>Each tablet contains clavulanate 62.5mg</v>
      </c>
    </row>
    <row r="56" spans="1:12" ht="26.25" customHeight="1" x14ac:dyDescent="0.4">
      <c r="A56" s="128" t="s">
        <v>72</v>
      </c>
      <c r="B56" s="129">
        <v>62.5</v>
      </c>
      <c r="C56" s="49" t="str">
        <f>B20</f>
        <v>CLAVULANATE</v>
      </c>
      <c r="H56" s="108"/>
    </row>
    <row r="57" spans="1:12" ht="18.75" x14ac:dyDescent="0.3">
      <c r="A57" s="128" t="s">
        <v>73</v>
      </c>
      <c r="B57" s="130">
        <f>Uniformity!C46</f>
        <v>650.01050000000009</v>
      </c>
      <c r="H57" s="108"/>
    </row>
    <row r="58" spans="1:12" ht="19.5" customHeight="1" thickBot="1" x14ac:dyDescent="0.35">
      <c r="H58" s="108"/>
    </row>
    <row r="59" spans="1:12" s="65" customFormat="1" ht="27" customHeight="1" thickBot="1" x14ac:dyDescent="0.45">
      <c r="A59" s="76" t="s">
        <v>74</v>
      </c>
      <c r="B59" s="77">
        <v>100</v>
      </c>
      <c r="C59" s="49"/>
      <c r="D59" s="131" t="s">
        <v>75</v>
      </c>
      <c r="E59" s="132" t="s">
        <v>46</v>
      </c>
      <c r="F59" s="132" t="s">
        <v>47</v>
      </c>
      <c r="G59" s="132" t="s">
        <v>76</v>
      </c>
      <c r="H59" s="80" t="s">
        <v>77</v>
      </c>
      <c r="L59" s="66"/>
    </row>
    <row r="60" spans="1:12" s="65" customFormat="1" ht="26.25" customHeight="1" x14ac:dyDescent="0.4">
      <c r="A60" s="78" t="s">
        <v>78</v>
      </c>
      <c r="B60" s="79">
        <v>5</v>
      </c>
      <c r="C60" s="279" t="s">
        <v>79</v>
      </c>
      <c r="D60" s="282">
        <v>288.27999999999997</v>
      </c>
      <c r="E60" s="133">
        <v>1</v>
      </c>
      <c r="F60" s="134">
        <v>6609622</v>
      </c>
      <c r="G60" s="135">
        <f>IF(ISBLANK(F60),"-",(F60/$D$50*$D$47*$B$68)*($B$57/$D$60))</f>
        <v>63.835218691534941</v>
      </c>
      <c r="H60" s="136">
        <f t="shared" ref="H60:H71" si="0">IF(ISBLANK(F60),"-",G60/$B$56)</f>
        <v>1.021363499064559</v>
      </c>
      <c r="L60" s="66"/>
    </row>
    <row r="61" spans="1:12" s="65" customFormat="1" ht="26.25" customHeight="1" x14ac:dyDescent="0.4">
      <c r="A61" s="78" t="s">
        <v>80</v>
      </c>
      <c r="B61" s="79">
        <v>100</v>
      </c>
      <c r="C61" s="280"/>
      <c r="D61" s="283"/>
      <c r="E61" s="137">
        <v>2</v>
      </c>
      <c r="F61" s="91">
        <v>6611327</v>
      </c>
      <c r="G61" s="138">
        <f>IF(ISBLANK(F61),"-",(F61/$D$50*$D$47*$B$68)*($B$57/$D$60))</f>
        <v>63.851685449825958</v>
      </c>
      <c r="H61" s="139">
        <f t="shared" si="0"/>
        <v>1.0216269671972154</v>
      </c>
      <c r="L61" s="66"/>
    </row>
    <row r="62" spans="1:12" s="65" customFormat="1" ht="26.25" customHeight="1" x14ac:dyDescent="0.4">
      <c r="A62" s="78" t="s">
        <v>81</v>
      </c>
      <c r="B62" s="79">
        <v>1</v>
      </c>
      <c r="C62" s="280"/>
      <c r="D62" s="283"/>
      <c r="E62" s="137">
        <v>3</v>
      </c>
      <c r="F62" s="140">
        <v>6617364</v>
      </c>
      <c r="G62" s="138">
        <f>IF(ISBLANK(F62),"-",(F62/$D$50*$D$47*$B$68)*($B$57/$D$60))</f>
        <v>63.909990329475782</v>
      </c>
      <c r="H62" s="139">
        <f t="shared" si="0"/>
        <v>1.0225598452716125</v>
      </c>
      <c r="L62" s="66"/>
    </row>
    <row r="63" spans="1:12" ht="27" customHeight="1" thickBot="1" x14ac:dyDescent="0.45">
      <c r="A63" s="78" t="s">
        <v>82</v>
      </c>
      <c r="B63" s="79">
        <v>1</v>
      </c>
      <c r="C63" s="281"/>
      <c r="D63" s="284"/>
      <c r="E63" s="141">
        <v>4</v>
      </c>
      <c r="F63" s="142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8" t="s">
        <v>83</v>
      </c>
      <c r="B64" s="79">
        <v>1</v>
      </c>
      <c r="C64" s="279" t="s">
        <v>84</v>
      </c>
      <c r="D64" s="282">
        <v>313.42</v>
      </c>
      <c r="E64" s="133">
        <v>1</v>
      </c>
      <c r="F64" s="134">
        <v>7223038</v>
      </c>
      <c r="G64" s="143">
        <f>IF(ISBLANK(F64),"-",(F64/$D$50*$D$47*$B$68)*($B$57/$D$64))</f>
        <v>64.164000592918541</v>
      </c>
      <c r="H64" s="144">
        <f t="shared" si="0"/>
        <v>1.0266240094866967</v>
      </c>
    </row>
    <row r="65" spans="1:8" ht="26.25" customHeight="1" x14ac:dyDescent="0.4">
      <c r="A65" s="78" t="s">
        <v>85</v>
      </c>
      <c r="B65" s="79">
        <v>1</v>
      </c>
      <c r="C65" s="280"/>
      <c r="D65" s="283"/>
      <c r="E65" s="137">
        <v>2</v>
      </c>
      <c r="F65" s="91">
        <v>7221566</v>
      </c>
      <c r="G65" s="145">
        <f>IF(ISBLANK(F65),"-",(F65/$D$50*$D$47*$B$68)*($B$57/$D$64))</f>
        <v>64.150924459458793</v>
      </c>
      <c r="H65" s="146">
        <f t="shared" si="0"/>
        <v>1.0264147913513406</v>
      </c>
    </row>
    <row r="66" spans="1:8" ht="26.25" customHeight="1" x14ac:dyDescent="0.4">
      <c r="A66" s="78" t="s">
        <v>86</v>
      </c>
      <c r="B66" s="79">
        <v>1</v>
      </c>
      <c r="C66" s="280"/>
      <c r="D66" s="283"/>
      <c r="E66" s="137">
        <v>3</v>
      </c>
      <c r="F66" s="91">
        <v>7234726</v>
      </c>
      <c r="G66" s="145">
        <f>IF(ISBLANK(F66),"-",(F66/$D$50*$D$47*$B$68)*($B$57/$D$64))</f>
        <v>64.267827935226578</v>
      </c>
      <c r="H66" s="146">
        <f t="shared" si="0"/>
        <v>1.0282852469636252</v>
      </c>
    </row>
    <row r="67" spans="1:8" ht="27" customHeight="1" thickBot="1" x14ac:dyDescent="0.45">
      <c r="A67" s="78" t="s">
        <v>87</v>
      </c>
      <c r="B67" s="79">
        <v>1</v>
      </c>
      <c r="C67" s="281"/>
      <c r="D67" s="284"/>
      <c r="E67" s="141">
        <v>4</v>
      </c>
      <c r="F67" s="142"/>
      <c r="G67" s="147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78" t="s">
        <v>88</v>
      </c>
      <c r="B68" s="149">
        <f>(B67/B66)*(B65/B64)*(B63/B62)*(B61/B60)*B59</f>
        <v>2000</v>
      </c>
      <c r="C68" s="279" t="s">
        <v>89</v>
      </c>
      <c r="D68" s="282">
        <v>344.13</v>
      </c>
      <c r="E68" s="133">
        <v>1</v>
      </c>
      <c r="F68" s="134">
        <v>7874697</v>
      </c>
      <c r="G68" s="143">
        <f>IF(ISBLANK(F68),"-",(F68/$D$50*$D$47*$B$68)*($B$57/$D$68))</f>
        <v>63.710286552607919</v>
      </c>
      <c r="H68" s="139">
        <f t="shared" si="0"/>
        <v>1.0193645848417268</v>
      </c>
    </row>
    <row r="69" spans="1:8" ht="27" customHeight="1" thickBot="1" x14ac:dyDescent="0.45">
      <c r="A69" s="124" t="s">
        <v>90</v>
      </c>
      <c r="B69" s="150">
        <f>(D47*B68)/B56*B57</f>
        <v>218.81953472000004</v>
      </c>
      <c r="C69" s="280"/>
      <c r="D69" s="283"/>
      <c r="E69" s="137">
        <v>2</v>
      </c>
      <c r="F69" s="91">
        <v>7885222</v>
      </c>
      <c r="G69" s="145">
        <f>IF(ISBLANK(F69),"-",(F69/$D$50*$D$47*$B$68)*($B$57/$D$68))</f>
        <v>63.795439132569577</v>
      </c>
      <c r="H69" s="139">
        <f t="shared" si="0"/>
        <v>1.0207270261211132</v>
      </c>
    </row>
    <row r="70" spans="1:8" ht="26.25" customHeight="1" x14ac:dyDescent="0.4">
      <c r="A70" s="293" t="s">
        <v>62</v>
      </c>
      <c r="B70" s="294"/>
      <c r="C70" s="280"/>
      <c r="D70" s="283"/>
      <c r="E70" s="137">
        <v>3</v>
      </c>
      <c r="F70" s="91">
        <v>7874461</v>
      </c>
      <c r="G70" s="145">
        <f>IF(ISBLANK(F70),"-",(F70/$D$50*$D$47*$B$68)*($B$57/$D$68))</f>
        <v>63.708377193095245</v>
      </c>
      <c r="H70" s="139">
        <f t="shared" si="0"/>
        <v>1.0193340350895239</v>
      </c>
    </row>
    <row r="71" spans="1:8" ht="27" customHeight="1" thickBot="1" x14ac:dyDescent="0.45">
      <c r="A71" s="295"/>
      <c r="B71" s="296"/>
      <c r="C71" s="285"/>
      <c r="D71" s="284"/>
      <c r="E71" s="141">
        <v>4</v>
      </c>
      <c r="F71" s="142"/>
      <c r="G71" s="147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08"/>
      <c r="B72" s="108"/>
      <c r="C72" s="108"/>
      <c r="D72" s="108"/>
      <c r="E72" s="108"/>
      <c r="F72" s="108"/>
      <c r="G72" s="152" t="s">
        <v>55</v>
      </c>
      <c r="H72" s="153">
        <f>AVERAGE(H60:H71)</f>
        <v>1.0229222228208235</v>
      </c>
    </row>
    <row r="73" spans="1:8" ht="26.25" customHeight="1" x14ac:dyDescent="0.4">
      <c r="C73" s="108"/>
      <c r="D73" s="108"/>
      <c r="E73" s="108"/>
      <c r="F73" s="108"/>
      <c r="G73" s="154" t="s">
        <v>68</v>
      </c>
      <c r="H73" s="155">
        <f>STDEV(H60:H71)/H72</f>
        <v>3.2652995196690779E-3</v>
      </c>
    </row>
    <row r="74" spans="1:8" ht="27" customHeight="1" thickBot="1" x14ac:dyDescent="0.45">
      <c r="A74" s="108"/>
      <c r="B74" s="108"/>
      <c r="C74" s="108"/>
      <c r="D74" s="108"/>
      <c r="E74" s="110"/>
      <c r="F74" s="108"/>
      <c r="G74" s="156" t="s">
        <v>69</v>
      </c>
      <c r="H74" s="157">
        <f>COUNT(H60:H71)</f>
        <v>9</v>
      </c>
    </row>
    <row r="76" spans="1:8" ht="26.25" customHeight="1" x14ac:dyDescent="0.4">
      <c r="A76" s="61" t="s">
        <v>91</v>
      </c>
      <c r="B76" s="62" t="s">
        <v>92</v>
      </c>
      <c r="C76" s="275" t="str">
        <f>B20</f>
        <v>CLAVULANATE</v>
      </c>
      <c r="D76" s="275"/>
      <c r="E76" s="49" t="s">
        <v>93</v>
      </c>
      <c r="F76" s="49"/>
      <c r="G76" s="158">
        <f>H72</f>
        <v>1.0229222228208235</v>
      </c>
      <c r="H76" s="67"/>
    </row>
    <row r="77" spans="1:8" ht="18.75" x14ac:dyDescent="0.3">
      <c r="A77" s="60" t="s">
        <v>94</v>
      </c>
      <c r="B77" s="60" t="s">
        <v>95</v>
      </c>
    </row>
    <row r="78" spans="1:8" ht="18.75" x14ac:dyDescent="0.3">
      <c r="A78" s="60"/>
      <c r="B78" s="60"/>
    </row>
    <row r="79" spans="1:8" ht="26.25" customHeight="1" x14ac:dyDescent="0.4">
      <c r="A79" s="61" t="s">
        <v>29</v>
      </c>
      <c r="B79" s="286" t="str">
        <f>B26</f>
        <v>Clavulanate</v>
      </c>
      <c r="C79" s="286"/>
    </row>
    <row r="80" spans="1:8" ht="26.25" customHeight="1" x14ac:dyDescent="0.4">
      <c r="A80" s="62" t="s">
        <v>30</v>
      </c>
      <c r="B80" s="286" t="str">
        <f>B27</f>
        <v>L13-1</v>
      </c>
      <c r="C80" s="286"/>
    </row>
    <row r="81" spans="1:12" ht="27" customHeight="1" thickBot="1" x14ac:dyDescent="0.45">
      <c r="A81" s="62" t="s">
        <v>32</v>
      </c>
      <c r="B81" s="63">
        <f>B28</f>
        <v>96.4</v>
      </c>
    </row>
    <row r="82" spans="1:12" s="65" customFormat="1" ht="27" customHeight="1" thickBot="1" x14ac:dyDescent="0.45">
      <c r="A82" s="62" t="s">
        <v>33</v>
      </c>
      <c r="B82" s="64">
        <v>0</v>
      </c>
      <c r="C82" s="287" t="s">
        <v>34</v>
      </c>
      <c r="D82" s="288"/>
      <c r="E82" s="288"/>
      <c r="F82" s="288"/>
      <c r="G82" s="289"/>
      <c r="I82" s="66"/>
      <c r="J82" s="66"/>
      <c r="K82" s="66"/>
      <c r="L82" s="66"/>
    </row>
    <row r="83" spans="1:12" s="65" customFormat="1" ht="19.5" customHeight="1" thickBot="1" x14ac:dyDescent="0.35">
      <c r="A83" s="62" t="s">
        <v>35</v>
      </c>
      <c r="B83" s="67">
        <f>B81-B82</f>
        <v>96.4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65" customFormat="1" ht="27" customHeight="1" thickBot="1" x14ac:dyDescent="0.45">
      <c r="A84" s="62" t="s">
        <v>36</v>
      </c>
      <c r="B84" s="70">
        <v>1</v>
      </c>
      <c r="C84" s="290" t="s">
        <v>96</v>
      </c>
      <c r="D84" s="291"/>
      <c r="E84" s="291"/>
      <c r="F84" s="291"/>
      <c r="G84" s="291"/>
      <c r="H84" s="292"/>
      <c r="I84" s="66"/>
      <c r="J84" s="66"/>
      <c r="K84" s="66"/>
      <c r="L84" s="66"/>
    </row>
    <row r="85" spans="1:12" s="65" customFormat="1" ht="27" customHeight="1" thickBot="1" x14ac:dyDescent="0.45">
      <c r="A85" s="62" t="s">
        <v>38</v>
      </c>
      <c r="B85" s="70">
        <v>1</v>
      </c>
      <c r="C85" s="290" t="s">
        <v>97</v>
      </c>
      <c r="D85" s="291"/>
      <c r="E85" s="291"/>
      <c r="F85" s="291"/>
      <c r="G85" s="291"/>
      <c r="H85" s="292"/>
      <c r="I85" s="66"/>
      <c r="J85" s="66"/>
      <c r="K85" s="66"/>
      <c r="L85" s="66"/>
    </row>
    <row r="86" spans="1:12" s="65" customFormat="1" ht="18.75" x14ac:dyDescent="0.3">
      <c r="A86" s="62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65" customFormat="1" ht="18.75" x14ac:dyDescent="0.3">
      <c r="A87" s="62" t="s">
        <v>40</v>
      </c>
      <c r="B87" s="75">
        <f>B84/B85</f>
        <v>1</v>
      </c>
      <c r="C87" s="49" t="s">
        <v>41</v>
      </c>
      <c r="D87" s="49"/>
      <c r="E87" s="49"/>
      <c r="F87" s="49"/>
      <c r="G87" s="49"/>
      <c r="I87" s="66"/>
      <c r="J87" s="66"/>
      <c r="K87" s="66"/>
      <c r="L87" s="66"/>
    </row>
    <row r="88" spans="1:12" ht="19.5" customHeight="1" thickBot="1" x14ac:dyDescent="0.35">
      <c r="A88" s="60"/>
      <c r="B88" s="60"/>
    </row>
    <row r="89" spans="1:12" ht="27" customHeight="1" thickBot="1" x14ac:dyDescent="0.45">
      <c r="A89" s="76" t="s">
        <v>42</v>
      </c>
      <c r="B89" s="77">
        <v>25</v>
      </c>
      <c r="D89" s="159" t="s">
        <v>43</v>
      </c>
      <c r="E89" s="160"/>
      <c r="F89" s="277" t="s">
        <v>44</v>
      </c>
      <c r="G89" s="278"/>
    </row>
    <row r="90" spans="1:12" ht="27" customHeight="1" thickBot="1" x14ac:dyDescent="0.45">
      <c r="A90" s="78" t="s">
        <v>45</v>
      </c>
      <c r="B90" s="79">
        <v>2</v>
      </c>
      <c r="C90" s="161" t="s">
        <v>46</v>
      </c>
      <c r="D90" s="81" t="s">
        <v>47</v>
      </c>
      <c r="E90" s="82" t="s">
        <v>48</v>
      </c>
      <c r="F90" s="81" t="s">
        <v>47</v>
      </c>
      <c r="G90" s="162" t="s">
        <v>48</v>
      </c>
      <c r="I90" s="84" t="s">
        <v>49</v>
      </c>
    </row>
    <row r="91" spans="1:12" ht="26.25" customHeight="1" x14ac:dyDescent="0.4">
      <c r="A91" s="78" t="s">
        <v>50</v>
      </c>
      <c r="B91" s="79">
        <v>100</v>
      </c>
      <c r="C91" s="163">
        <v>1</v>
      </c>
      <c r="D91" s="86">
        <v>4669203</v>
      </c>
      <c r="E91" s="87">
        <f>IF(ISBLANK(D91),"-",$D$101/$D$98*D91)</f>
        <v>4854995.0946332114</v>
      </c>
      <c r="F91" s="86">
        <v>4932975</v>
      </c>
      <c r="G91" s="88">
        <f>IF(ISBLANK(F91),"-",$D$101/$F$98*F91)</f>
        <v>4829328.1486589005</v>
      </c>
      <c r="I91" s="89"/>
    </row>
    <row r="92" spans="1:12" ht="26.25" customHeight="1" x14ac:dyDescent="0.4">
      <c r="A92" s="78" t="s">
        <v>51</v>
      </c>
      <c r="B92" s="79">
        <v>1</v>
      </c>
      <c r="C92" s="108">
        <v>2</v>
      </c>
      <c r="D92" s="91">
        <v>4669727</v>
      </c>
      <c r="E92" s="92">
        <f>IF(ISBLANK(D92),"-",$D$101/$D$98*D92)</f>
        <v>4855539.9450990371</v>
      </c>
      <c r="F92" s="91">
        <v>4943747</v>
      </c>
      <c r="G92" s="93">
        <f>IF(ISBLANK(F92),"-",$D$101/$F$98*F92)</f>
        <v>4839873.8179188007</v>
      </c>
      <c r="I92" s="268">
        <f>ABS((F96/D96*D95)-F95)/D95</f>
        <v>4.4933595569780068E-3</v>
      </c>
    </row>
    <row r="93" spans="1:12" ht="26.25" customHeight="1" x14ac:dyDescent="0.4">
      <c r="A93" s="78" t="s">
        <v>52</v>
      </c>
      <c r="B93" s="79">
        <v>1</v>
      </c>
      <c r="C93" s="108">
        <v>3</v>
      </c>
      <c r="D93" s="91">
        <v>4664909</v>
      </c>
      <c r="E93" s="92">
        <f>IF(ISBLANK(D93),"-",$D$101/$D$98*D93)</f>
        <v>4850530.2322281376</v>
      </c>
      <c r="F93" s="91">
        <v>4933928</v>
      </c>
      <c r="G93" s="93">
        <f>IF(ISBLANK(F93),"-",$D$101/$F$98*F93)</f>
        <v>4830261.1251539513</v>
      </c>
      <c r="I93" s="268"/>
    </row>
    <row r="94" spans="1:12" ht="27" customHeight="1" thickBot="1" x14ac:dyDescent="0.45">
      <c r="A94" s="78" t="s">
        <v>53</v>
      </c>
      <c r="B94" s="79">
        <v>1</v>
      </c>
      <c r="C94" s="164">
        <v>4</v>
      </c>
      <c r="D94" s="95"/>
      <c r="E94" s="96" t="str">
        <f>IF(ISBLANK(D94),"-",$D$101/$D$98*D94)</f>
        <v>-</v>
      </c>
      <c r="F94" s="165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54</v>
      </c>
      <c r="B95" s="79">
        <v>1</v>
      </c>
      <c r="C95" s="62" t="s">
        <v>55</v>
      </c>
      <c r="D95" s="166">
        <f>AVERAGE(D91:D94)</f>
        <v>4667946.333333333</v>
      </c>
      <c r="E95" s="101">
        <f>AVERAGE(E91:E94)</f>
        <v>4853688.4239867954</v>
      </c>
      <c r="F95" s="167">
        <f>AVERAGE(F91:F94)</f>
        <v>4936883.333333333</v>
      </c>
      <c r="G95" s="168">
        <f>AVERAGE(G91:G94)</f>
        <v>4833154.3639105512</v>
      </c>
    </row>
    <row r="96" spans="1:12" ht="26.25" customHeight="1" x14ac:dyDescent="0.4">
      <c r="A96" s="78" t="s">
        <v>56</v>
      </c>
      <c r="B96" s="63">
        <v>1</v>
      </c>
      <c r="C96" s="169" t="s">
        <v>98</v>
      </c>
      <c r="D96" s="105">
        <v>12.72</v>
      </c>
      <c r="E96" s="49"/>
      <c r="F96" s="105">
        <v>13.51</v>
      </c>
    </row>
    <row r="97" spans="1:10" ht="26.25" customHeight="1" x14ac:dyDescent="0.4">
      <c r="A97" s="78" t="s">
        <v>58</v>
      </c>
      <c r="B97" s="63">
        <v>1</v>
      </c>
      <c r="C97" s="170" t="s">
        <v>99</v>
      </c>
      <c r="D97" s="171">
        <f>D96*$B$87</f>
        <v>12.72</v>
      </c>
      <c r="E97" s="108"/>
      <c r="F97" s="107">
        <f>F96*$B$87</f>
        <v>13.51</v>
      </c>
    </row>
    <row r="98" spans="1:10" ht="19.5" customHeight="1" thickBot="1" x14ac:dyDescent="0.35">
      <c r="A98" s="78" t="s">
        <v>60</v>
      </c>
      <c r="B98" s="108">
        <f>(B97/B96)*(B95/B94)*(B93/B92)*(B91/B90)*B89</f>
        <v>1250</v>
      </c>
      <c r="C98" s="170" t="s">
        <v>100</v>
      </c>
      <c r="D98" s="172">
        <f>D97*$B$83/100</f>
        <v>12.262080000000001</v>
      </c>
      <c r="E98" s="110"/>
      <c r="F98" s="109">
        <f>F97*$B$83/100</f>
        <v>13.02364</v>
      </c>
    </row>
    <row r="99" spans="1:10" ht="19.5" customHeight="1" thickBot="1" x14ac:dyDescent="0.35">
      <c r="A99" s="269" t="s">
        <v>62</v>
      </c>
      <c r="B99" s="270"/>
      <c r="C99" s="170" t="s">
        <v>101</v>
      </c>
      <c r="D99" s="173">
        <f>D98/$B$98</f>
        <v>9.8096640000000009E-3</v>
      </c>
      <c r="E99" s="110"/>
      <c r="F99" s="113">
        <f>F98/$B$98</f>
        <v>1.0418912000000001E-2</v>
      </c>
      <c r="H99" s="103"/>
    </row>
    <row r="100" spans="1:10" ht="19.5" customHeight="1" thickBot="1" x14ac:dyDescent="0.35">
      <c r="A100" s="271"/>
      <c r="B100" s="272"/>
      <c r="C100" s="170" t="s">
        <v>64</v>
      </c>
      <c r="D100" s="174">
        <v>1.0200000000000001E-2</v>
      </c>
      <c r="F100" s="118"/>
      <c r="G100" s="175"/>
      <c r="H100" s="103"/>
    </row>
    <row r="101" spans="1:10" ht="18.75" x14ac:dyDescent="0.3">
      <c r="C101" s="170" t="s">
        <v>65</v>
      </c>
      <c r="D101" s="171">
        <f>D100*$B$98</f>
        <v>12.750000000000002</v>
      </c>
      <c r="F101" s="118"/>
      <c r="H101" s="103"/>
    </row>
    <row r="102" spans="1:10" ht="19.5" customHeight="1" thickBot="1" x14ac:dyDescent="0.35">
      <c r="C102" s="176" t="s">
        <v>66</v>
      </c>
      <c r="D102" s="177">
        <f>D101/B34</f>
        <v>12.750000000000002</v>
      </c>
      <c r="F102" s="122"/>
      <c r="H102" s="103"/>
      <c r="J102" s="178"/>
    </row>
    <row r="103" spans="1:10" ht="18.75" x14ac:dyDescent="0.3">
      <c r="C103" s="179" t="s">
        <v>102</v>
      </c>
      <c r="D103" s="180">
        <f>AVERAGE(E91:E94,G91:G94)</f>
        <v>4843421.3939486733</v>
      </c>
      <c r="F103" s="122"/>
      <c r="G103" s="175"/>
      <c r="H103" s="103"/>
      <c r="J103" s="181"/>
    </row>
    <row r="104" spans="1:10" ht="18.75" x14ac:dyDescent="0.3">
      <c r="C104" s="154" t="s">
        <v>68</v>
      </c>
      <c r="D104" s="182">
        <f>STDEV(E91:E94,G91:G94)/D103</f>
        <v>2.4702521152667914E-3</v>
      </c>
      <c r="F104" s="122"/>
      <c r="H104" s="103"/>
      <c r="J104" s="181"/>
    </row>
    <row r="105" spans="1:10" ht="19.5" customHeight="1" thickBot="1" x14ac:dyDescent="0.35">
      <c r="C105" s="156" t="s">
        <v>69</v>
      </c>
      <c r="D105" s="183">
        <f>COUNT(E91:E94,G91:G94)</f>
        <v>6</v>
      </c>
      <c r="F105" s="122"/>
      <c r="H105" s="103"/>
      <c r="J105" s="181"/>
    </row>
    <row r="106" spans="1:10" ht="19.5" customHeight="1" thickBot="1" x14ac:dyDescent="0.35">
      <c r="A106" s="126"/>
      <c r="B106" s="126"/>
      <c r="C106" s="126"/>
      <c r="D106" s="126"/>
      <c r="E106" s="126"/>
    </row>
    <row r="107" spans="1:10" ht="26.25" customHeight="1" x14ac:dyDescent="0.4">
      <c r="A107" s="76" t="s">
        <v>103</v>
      </c>
      <c r="B107" s="77">
        <v>900</v>
      </c>
      <c r="C107" s="159" t="s">
        <v>104</v>
      </c>
      <c r="D107" s="184" t="s">
        <v>47</v>
      </c>
      <c r="E107" s="185" t="s">
        <v>105</v>
      </c>
      <c r="F107" s="186" t="s">
        <v>106</v>
      </c>
    </row>
    <row r="108" spans="1:10" ht="26.25" customHeight="1" x14ac:dyDescent="0.4">
      <c r="A108" s="78" t="s">
        <v>107</v>
      </c>
      <c r="B108" s="79">
        <v>5</v>
      </c>
      <c r="C108" s="187">
        <v>1</v>
      </c>
      <c r="D108" s="188">
        <v>6815163</v>
      </c>
      <c r="E108" s="189">
        <f t="shared" ref="E108:E113" si="1">IF(ISBLANK(D108),"-",D108/$D$103*$D$100*$B$116)</f>
        <v>64.585745541535871</v>
      </c>
      <c r="F108" s="190">
        <f t="shared" ref="F108:F113" si="2">IF(ISBLANK(D108), "-", E108/$B$56)</f>
        <v>1.0333719286645739</v>
      </c>
    </row>
    <row r="109" spans="1:10" ht="26.25" customHeight="1" x14ac:dyDescent="0.4">
      <c r="A109" s="78" t="s">
        <v>80</v>
      </c>
      <c r="B109" s="79">
        <v>25</v>
      </c>
      <c r="C109" s="187">
        <v>2</v>
      </c>
      <c r="D109" s="188">
        <v>6844006</v>
      </c>
      <c r="E109" s="191">
        <f t="shared" si="1"/>
        <v>64.859084074840879</v>
      </c>
      <c r="F109" s="192">
        <f t="shared" si="2"/>
        <v>1.0377453451974541</v>
      </c>
    </row>
    <row r="110" spans="1:10" ht="26.25" customHeight="1" x14ac:dyDescent="0.4">
      <c r="A110" s="78" t="s">
        <v>81</v>
      </c>
      <c r="B110" s="79">
        <v>1</v>
      </c>
      <c r="C110" s="187">
        <v>3</v>
      </c>
      <c r="D110" s="188">
        <v>7123991</v>
      </c>
      <c r="E110" s="191">
        <f t="shared" si="1"/>
        <v>67.512438068787446</v>
      </c>
      <c r="F110" s="192">
        <f t="shared" si="2"/>
        <v>1.0801990091005991</v>
      </c>
    </row>
    <row r="111" spans="1:10" ht="26.25" customHeight="1" x14ac:dyDescent="0.4">
      <c r="A111" s="78" t="s">
        <v>82</v>
      </c>
      <c r="B111" s="79">
        <v>1</v>
      </c>
      <c r="C111" s="187">
        <v>4</v>
      </c>
      <c r="D111" s="188">
        <v>6941837</v>
      </c>
      <c r="E111" s="191">
        <f>IF(ISBLANK(D111),"-",D111/$D$103*$D$100*$B$116)</f>
        <v>65.786206151315653</v>
      </c>
      <c r="F111" s="192">
        <f t="shared" si="2"/>
        <v>1.0525792984210505</v>
      </c>
    </row>
    <row r="112" spans="1:10" ht="26.25" customHeight="1" x14ac:dyDescent="0.4">
      <c r="A112" s="78" t="s">
        <v>83</v>
      </c>
      <c r="B112" s="79">
        <v>1</v>
      </c>
      <c r="C112" s="187">
        <v>5</v>
      </c>
      <c r="D112" s="188">
        <v>6786131</v>
      </c>
      <c r="E112" s="191">
        <f t="shared" si="1"/>
        <v>64.310615898332642</v>
      </c>
      <c r="F112" s="192">
        <f t="shared" si="2"/>
        <v>1.0289698543733223</v>
      </c>
    </row>
    <row r="113" spans="1:10" ht="26.25" customHeight="1" x14ac:dyDescent="0.4">
      <c r="A113" s="78" t="s">
        <v>85</v>
      </c>
      <c r="B113" s="79">
        <v>1</v>
      </c>
      <c r="C113" s="193">
        <v>6</v>
      </c>
      <c r="D113" s="194">
        <v>7185620</v>
      </c>
      <c r="E113" s="195">
        <f t="shared" si="1"/>
        <v>68.096482047189639</v>
      </c>
      <c r="F113" s="196">
        <f t="shared" si="2"/>
        <v>1.0895437127550343</v>
      </c>
    </row>
    <row r="114" spans="1:10" ht="26.25" customHeight="1" x14ac:dyDescent="0.4">
      <c r="A114" s="78" t="s">
        <v>86</v>
      </c>
      <c r="B114" s="79">
        <v>1</v>
      </c>
      <c r="C114" s="187"/>
      <c r="D114" s="108"/>
      <c r="E114" s="49"/>
      <c r="F114" s="197"/>
    </row>
    <row r="115" spans="1:10" ht="26.25" customHeight="1" x14ac:dyDescent="0.4">
      <c r="A115" s="78" t="s">
        <v>87</v>
      </c>
      <c r="B115" s="79">
        <v>1</v>
      </c>
      <c r="C115" s="187"/>
      <c r="D115" s="198"/>
      <c r="E115" s="199" t="s">
        <v>55</v>
      </c>
      <c r="F115" s="200">
        <f>AVERAGE(F108:F113)</f>
        <v>1.053734858085339</v>
      </c>
    </row>
    <row r="116" spans="1:10" ht="27" customHeight="1" thickBot="1" x14ac:dyDescent="0.45">
      <c r="A116" s="78" t="s">
        <v>88</v>
      </c>
      <c r="B116" s="90">
        <f>(B115/B114)*(B113/B112)*(B111/B110)*(B109/B108)*B107</f>
        <v>4500</v>
      </c>
      <c r="C116" s="201"/>
      <c r="D116" s="202"/>
      <c r="E116" s="62" t="s">
        <v>68</v>
      </c>
      <c r="F116" s="203">
        <f>STDEV(F108:F113)/F115</f>
        <v>2.4260331595811046E-2</v>
      </c>
      <c r="I116" s="49"/>
    </row>
    <row r="117" spans="1:10" ht="27" customHeight="1" thickBot="1" x14ac:dyDescent="0.45">
      <c r="A117" s="269" t="s">
        <v>62</v>
      </c>
      <c r="B117" s="273"/>
      <c r="C117" s="204"/>
      <c r="D117" s="205"/>
      <c r="E117" s="206" t="s">
        <v>69</v>
      </c>
      <c r="F117" s="207">
        <f>COUNT(F108:F113)</f>
        <v>6</v>
      </c>
      <c r="I117" s="49"/>
      <c r="J117" s="181"/>
    </row>
    <row r="118" spans="1:10" ht="19.5" customHeight="1" thickBot="1" x14ac:dyDescent="0.35">
      <c r="A118" s="271"/>
      <c r="B118" s="274"/>
      <c r="C118" s="49"/>
      <c r="D118" s="49"/>
      <c r="E118" s="49"/>
      <c r="F118" s="108"/>
      <c r="G118" s="49"/>
      <c r="H118" s="49"/>
      <c r="I118" s="49"/>
    </row>
    <row r="119" spans="1:10" ht="18.75" x14ac:dyDescent="0.3">
      <c r="A119" s="208"/>
      <c r="B119" s="74"/>
      <c r="C119" s="49"/>
      <c r="D119" s="49"/>
      <c r="E119" s="49"/>
      <c r="F119" s="108"/>
      <c r="G119" s="49"/>
      <c r="H119" s="49"/>
      <c r="I119" s="49"/>
    </row>
    <row r="120" spans="1:10" ht="26.25" customHeight="1" x14ac:dyDescent="0.4">
      <c r="A120" s="61" t="s">
        <v>91</v>
      </c>
      <c r="B120" s="62" t="s">
        <v>108</v>
      </c>
      <c r="C120" s="275" t="str">
        <f>B20</f>
        <v>CLAVULANATE</v>
      </c>
      <c r="D120" s="275"/>
      <c r="E120" s="49" t="s">
        <v>109</v>
      </c>
      <c r="F120" s="49"/>
      <c r="G120" s="158">
        <f>F115</f>
        <v>1.053734858085339</v>
      </c>
      <c r="H120" s="49"/>
      <c r="I120" s="49"/>
    </row>
    <row r="121" spans="1:10" ht="19.5" customHeight="1" thickBo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276" t="s">
        <v>19</v>
      </c>
      <c r="C122" s="276"/>
      <c r="E122" s="161" t="s">
        <v>20</v>
      </c>
      <c r="F122" s="211"/>
      <c r="G122" s="276" t="s">
        <v>21</v>
      </c>
      <c r="H122" s="276"/>
    </row>
    <row r="123" spans="1:10" ht="69.95" customHeight="1" x14ac:dyDescent="0.3">
      <c r="A123" s="61" t="s">
        <v>22</v>
      </c>
      <c r="B123" s="331" t="s">
        <v>138</v>
      </c>
      <c r="C123" s="212"/>
      <c r="E123" s="212"/>
      <c r="F123" s="49"/>
      <c r="G123" s="212"/>
      <c r="H123" s="212"/>
    </row>
    <row r="124" spans="1:10" ht="69.95" customHeight="1" x14ac:dyDescent="0.3">
      <c r="A124" s="61" t="s">
        <v>23</v>
      </c>
      <c r="B124" s="213"/>
      <c r="C124" s="213"/>
      <c r="E124" s="213"/>
      <c r="F124" s="49"/>
      <c r="G124" s="214"/>
      <c r="H124" s="214"/>
    </row>
    <row r="125" spans="1:10" ht="18.75" x14ac:dyDescent="0.3">
      <c r="A125" s="108"/>
      <c r="B125" s="108"/>
      <c r="C125" s="108"/>
      <c r="D125" s="108"/>
      <c r="E125" s="108"/>
      <c r="F125" s="110"/>
      <c r="G125" s="108"/>
      <c r="H125" s="108"/>
      <c r="I125" s="49"/>
    </row>
    <row r="126" spans="1:10" ht="18.75" x14ac:dyDescent="0.3">
      <c r="A126" s="108"/>
      <c r="B126" s="108"/>
      <c r="C126" s="108"/>
      <c r="D126" s="108"/>
      <c r="E126" s="108"/>
      <c r="F126" s="110"/>
      <c r="G126" s="108"/>
      <c r="H126" s="108"/>
      <c r="I126" s="49"/>
    </row>
    <row r="127" spans="1:10" ht="18.75" x14ac:dyDescent="0.3">
      <c r="A127" s="108"/>
      <c r="B127" s="108"/>
      <c r="C127" s="108"/>
      <c r="D127" s="108"/>
      <c r="E127" s="108"/>
      <c r="F127" s="110"/>
      <c r="G127" s="108"/>
      <c r="H127" s="108"/>
      <c r="I127" s="49"/>
    </row>
    <row r="128" spans="1:10" ht="18.75" x14ac:dyDescent="0.3">
      <c r="A128" s="108"/>
      <c r="B128" s="108"/>
      <c r="C128" s="108"/>
      <c r="D128" s="108"/>
      <c r="E128" s="108"/>
      <c r="F128" s="110"/>
      <c r="G128" s="108"/>
      <c r="H128" s="108"/>
      <c r="I128" s="49"/>
    </row>
    <row r="129" spans="1:9" ht="18.75" x14ac:dyDescent="0.3">
      <c r="A129" s="108"/>
      <c r="B129" s="108"/>
      <c r="C129" s="108"/>
      <c r="D129" s="108"/>
      <c r="E129" s="108"/>
      <c r="F129" s="110"/>
      <c r="G129" s="108"/>
      <c r="H129" s="108"/>
      <c r="I129" s="49"/>
    </row>
    <row r="130" spans="1:9" ht="18.75" x14ac:dyDescent="0.3">
      <c r="A130" s="108"/>
      <c r="B130" s="108"/>
      <c r="C130" s="108"/>
      <c r="D130" s="108"/>
      <c r="E130" s="108"/>
      <c r="F130" s="110"/>
      <c r="G130" s="108"/>
      <c r="H130" s="108"/>
      <c r="I130" s="49"/>
    </row>
    <row r="131" spans="1:9" ht="18.75" x14ac:dyDescent="0.3">
      <c r="A131" s="108"/>
      <c r="B131" s="108"/>
      <c r="C131" s="108"/>
      <c r="D131" s="108"/>
      <c r="E131" s="108"/>
      <c r="F131" s="110"/>
      <c r="G131" s="108"/>
      <c r="H131" s="108"/>
      <c r="I131" s="49"/>
    </row>
    <row r="132" spans="1:9" ht="18.75" x14ac:dyDescent="0.3">
      <c r="A132" s="108"/>
      <c r="B132" s="108"/>
      <c r="C132" s="108"/>
      <c r="D132" s="108"/>
      <c r="E132" s="108"/>
      <c r="F132" s="110"/>
      <c r="G132" s="108"/>
      <c r="H132" s="108"/>
      <c r="I132" s="49"/>
    </row>
    <row r="133" spans="1:9" ht="18.75" x14ac:dyDescent="0.3">
      <c r="A133" s="108"/>
      <c r="B133" s="108"/>
      <c r="C133" s="108"/>
      <c r="D133" s="108"/>
      <c r="E133" s="108"/>
      <c r="F133" s="110"/>
      <c r="G133" s="108"/>
      <c r="H133" s="108"/>
      <c r="I133" s="49"/>
    </row>
    <row r="250" spans="1:1" x14ac:dyDescent="0.25">
      <c r="A250" s="48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Uniformity</vt:lpstr>
      <vt:lpstr>SST</vt:lpstr>
      <vt:lpstr>CEFUROXIME</vt:lpstr>
      <vt:lpstr>CLAVULANATE</vt:lpstr>
      <vt:lpstr>CEFUROXIME!Print_Area</vt:lpstr>
      <vt:lpstr>CLAVULANATE!Print_Area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cp:lastPrinted>2015-07-31T11:42:51Z</cp:lastPrinted>
  <dcterms:created xsi:type="dcterms:W3CDTF">2005-07-05T10:19:27Z</dcterms:created>
  <dcterms:modified xsi:type="dcterms:W3CDTF">2015-07-31T14:33:35Z</dcterms:modified>
  <cp:category/>
</cp:coreProperties>
</file>