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25" windowWidth="15015" windowHeight="7620" activeTab="3"/>
  </bookViews>
  <sheets>
    <sheet name="Uniformity" sheetId="2" r:id="rId1"/>
    <sheet name="SST" sheetId="6" r:id="rId2"/>
    <sheet name="cefuroxime" sheetId="3" r:id="rId3"/>
    <sheet name="clavulanate" sheetId="4" r:id="rId4"/>
  </sheets>
  <definedNames>
    <definedName name="_xlnm.Print_Area" localSheetId="1">SST!$A$1:$K$66</definedName>
    <definedName name="_xlnm.Print_Area" localSheetId="0">Uniformity!$A$1:$S$55</definedName>
  </definedNames>
  <calcPr calcId="145621"/>
</workbook>
</file>

<file path=xl/calcChain.xml><?xml version="1.0" encoding="utf-8"?>
<calcChain xmlns="http://schemas.openxmlformats.org/spreadsheetml/2006/main">
  <c r="F116" i="4" l="1"/>
  <c r="F116" i="3"/>
  <c r="B58" i="6" l="1"/>
  <c r="E56" i="6"/>
  <c r="D56" i="6"/>
  <c r="C56" i="6"/>
  <c r="B56" i="6"/>
  <c r="B57" i="6" s="1"/>
  <c r="F32" i="6"/>
  <c r="B32" i="6"/>
  <c r="F31" i="6"/>
  <c r="B31" i="6"/>
  <c r="F30" i="6"/>
  <c r="E30" i="6"/>
  <c r="D30" i="6"/>
  <c r="C30" i="6"/>
  <c r="B30" i="6"/>
  <c r="B19" i="6"/>
  <c r="F113" i="3" l="1"/>
  <c r="D97" i="3"/>
  <c r="F40" i="3"/>
  <c r="F39" i="3"/>
  <c r="G38" i="3"/>
  <c r="F113" i="4"/>
  <c r="F70" i="3" l="1"/>
  <c r="F66" i="3"/>
  <c r="F62" i="3"/>
  <c r="F69" i="3"/>
  <c r="F65" i="3"/>
  <c r="F61" i="3"/>
  <c r="F68" i="3"/>
  <c r="F64" i="3"/>
  <c r="F60" i="3"/>
  <c r="F42" i="3"/>
  <c r="C120" i="4"/>
  <c r="B116" i="4"/>
  <c r="B98" i="4"/>
  <c r="D101" i="4" s="1"/>
  <c r="F95" i="4"/>
  <c r="D95" i="4"/>
  <c r="I92" i="4" s="1"/>
  <c r="B87" i="4"/>
  <c r="D97" i="4" s="1"/>
  <c r="B81" i="4"/>
  <c r="B83" i="4" s="1"/>
  <c r="B80" i="4"/>
  <c r="B79" i="4"/>
  <c r="C76" i="4"/>
  <c r="B68" i="4"/>
  <c r="C56" i="4"/>
  <c r="B55" i="4"/>
  <c r="B45" i="4"/>
  <c r="D48" i="4" s="1"/>
  <c r="F42" i="4"/>
  <c r="D42" i="4"/>
  <c r="B34" i="4"/>
  <c r="F44" i="4" s="1"/>
  <c r="F45" i="4" s="1"/>
  <c r="B30" i="4"/>
  <c r="C120" i="3"/>
  <c r="B116" i="3"/>
  <c r="B98" i="3"/>
  <c r="F95" i="3"/>
  <c r="D95" i="3"/>
  <c r="B87" i="3"/>
  <c r="B81" i="3"/>
  <c r="B83" i="3" s="1"/>
  <c r="B80" i="3"/>
  <c r="B79" i="3"/>
  <c r="C76" i="3"/>
  <c r="B68" i="3"/>
  <c r="B57" i="3"/>
  <c r="C56" i="3"/>
  <c r="B55" i="3"/>
  <c r="B45" i="3"/>
  <c r="D48" i="3" s="1"/>
  <c r="D42" i="3"/>
  <c r="B34" i="3"/>
  <c r="D44" i="3" s="1"/>
  <c r="B30" i="3"/>
  <c r="D50" i="2"/>
  <c r="C50" i="2"/>
  <c r="C47" i="2"/>
  <c r="B57" i="4" s="1"/>
  <c r="C46" i="2"/>
  <c r="D44" i="2"/>
  <c r="D41" i="2"/>
  <c r="D40" i="2"/>
  <c r="D37" i="2"/>
  <c r="D36" i="2"/>
  <c r="D33" i="2"/>
  <c r="D32" i="2"/>
  <c r="D29" i="2"/>
  <c r="D28" i="2"/>
  <c r="D25" i="2"/>
  <c r="C20" i="2"/>
  <c r="I92" i="3" l="1"/>
  <c r="F46" i="4"/>
  <c r="F97" i="4"/>
  <c r="F98" i="4" s="1"/>
  <c r="D44" i="4"/>
  <c r="D49" i="4"/>
  <c r="D45" i="4"/>
  <c r="E38" i="4" s="1"/>
  <c r="G38" i="4"/>
  <c r="I39" i="4"/>
  <c r="D101" i="3"/>
  <c r="D45" i="3"/>
  <c r="D98" i="3"/>
  <c r="D99" i="3" s="1"/>
  <c r="B69" i="3"/>
  <c r="I39" i="3"/>
  <c r="D46" i="4"/>
  <c r="E41" i="4"/>
  <c r="B69" i="4"/>
  <c r="D98" i="4"/>
  <c r="E91" i="4" s="1"/>
  <c r="E94" i="4"/>
  <c r="E94" i="3"/>
  <c r="D102" i="3"/>
  <c r="D49" i="3"/>
  <c r="E41" i="3"/>
  <c r="F44" i="3"/>
  <c r="F45" i="3" s="1"/>
  <c r="F46" i="3" s="1"/>
  <c r="F97" i="3"/>
  <c r="F98" i="3" s="1"/>
  <c r="F99" i="3" s="1"/>
  <c r="G41" i="4"/>
  <c r="G94" i="4"/>
  <c r="G40" i="4"/>
  <c r="D102" i="4"/>
  <c r="D26" i="2"/>
  <c r="D30" i="2"/>
  <c r="D34" i="2"/>
  <c r="D38" i="2"/>
  <c r="D42" i="2"/>
  <c r="C51" i="2"/>
  <c r="D27" i="2"/>
  <c r="D31" i="2"/>
  <c r="D35" i="2"/>
  <c r="D39" i="2"/>
  <c r="D43" i="2"/>
  <c r="B50" i="2"/>
  <c r="D51" i="2"/>
  <c r="G39" i="4"/>
  <c r="D46" i="3" l="1"/>
  <c r="E38" i="3"/>
  <c r="G91" i="4"/>
  <c r="G93" i="4"/>
  <c r="G92" i="4"/>
  <c r="F99" i="4"/>
  <c r="E39" i="4"/>
  <c r="E40" i="4"/>
  <c r="G42" i="4"/>
  <c r="E39" i="3"/>
  <c r="E40" i="3"/>
  <c r="E91" i="3"/>
  <c r="E92" i="3"/>
  <c r="E93" i="3"/>
  <c r="G39" i="3"/>
  <c r="G93" i="3"/>
  <c r="G94" i="3"/>
  <c r="D99" i="4"/>
  <c r="E93" i="4"/>
  <c r="E92" i="4"/>
  <c r="G40" i="3"/>
  <c r="G41" i="3"/>
  <c r="G92" i="3"/>
  <c r="G91" i="3"/>
  <c r="D50" i="4" l="1"/>
  <c r="E42" i="4"/>
  <c r="D52" i="4"/>
  <c r="D52" i="3"/>
  <c r="G95" i="4"/>
  <c r="E95" i="4"/>
  <c r="D105" i="4"/>
  <c r="E42" i="3"/>
  <c r="E95" i="3"/>
  <c r="D103" i="3"/>
  <c r="E113" i="3" s="1"/>
  <c r="G42" i="3"/>
  <c r="D50" i="3"/>
  <c r="G71" i="3" s="1"/>
  <c r="H71" i="3" s="1"/>
  <c r="D103" i="4"/>
  <c r="D51" i="4"/>
  <c r="G70" i="4"/>
  <c r="H70" i="4" s="1"/>
  <c r="G67" i="4"/>
  <c r="H67" i="4" s="1"/>
  <c r="G65" i="4"/>
  <c r="H65" i="4" s="1"/>
  <c r="G63" i="4"/>
  <c r="H63" i="4" s="1"/>
  <c r="G61" i="4"/>
  <c r="H61" i="4" s="1"/>
  <c r="G68" i="4"/>
  <c r="H68" i="4" s="1"/>
  <c r="G71" i="4"/>
  <c r="H71" i="4" s="1"/>
  <c r="G69" i="4"/>
  <c r="H69" i="4" s="1"/>
  <c r="G66" i="4"/>
  <c r="H66" i="4" s="1"/>
  <c r="G64" i="4"/>
  <c r="H64" i="4" s="1"/>
  <c r="G62" i="4"/>
  <c r="H62" i="4" s="1"/>
  <c r="G60" i="4"/>
  <c r="H60" i="4" s="1"/>
  <c r="G95" i="3"/>
  <c r="D105" i="3"/>
  <c r="D104" i="3" l="1"/>
  <c r="E109" i="3"/>
  <c r="F109" i="3" s="1"/>
  <c r="E108" i="3"/>
  <c r="F108" i="3" s="1"/>
  <c r="E112" i="3"/>
  <c r="F112" i="3" s="1"/>
  <c r="E110" i="3"/>
  <c r="F110" i="3" s="1"/>
  <c r="E111" i="3"/>
  <c r="F111" i="3" s="1"/>
  <c r="G70" i="3"/>
  <c r="H70" i="3" s="1"/>
  <c r="G68" i="3"/>
  <c r="H68" i="3" s="1"/>
  <c r="D51" i="3"/>
  <c r="G67" i="3"/>
  <c r="H67" i="3" s="1"/>
  <c r="G64" i="3"/>
  <c r="H64" i="3" s="1"/>
  <c r="G61" i="3"/>
  <c r="G66" i="3"/>
  <c r="H66" i="3" s="1"/>
  <c r="G63" i="3"/>
  <c r="H63" i="3" s="1"/>
  <c r="G60" i="3"/>
  <c r="H60" i="3" s="1"/>
  <c r="G69" i="3"/>
  <c r="H69" i="3" s="1"/>
  <c r="G65" i="3"/>
  <c r="G62" i="3"/>
  <c r="H62" i="3" s="1"/>
  <c r="H72" i="4"/>
  <c r="H74" i="4"/>
  <c r="E112" i="4"/>
  <c r="F112" i="4" s="1"/>
  <c r="E110" i="4"/>
  <c r="F110" i="4" s="1"/>
  <c r="E108" i="4"/>
  <c r="F108" i="4" s="1"/>
  <c r="E113" i="4"/>
  <c r="E111" i="4"/>
  <c r="F111" i="4" s="1"/>
  <c r="E109" i="4"/>
  <c r="F109" i="4" s="1"/>
  <c r="D104" i="4"/>
  <c r="F115" i="3" l="1"/>
  <c r="F115" i="4"/>
  <c r="H72" i="3"/>
  <c r="H73" i="3" s="1"/>
  <c r="F117" i="3"/>
  <c r="H74" i="3"/>
  <c r="F117" i="4"/>
  <c r="H73" i="4"/>
  <c r="G76" i="4"/>
  <c r="G120" i="3" l="1"/>
  <c r="G76" i="3"/>
  <c r="G120" i="4"/>
</calcChain>
</file>

<file path=xl/sharedStrings.xml><?xml version="1.0" encoding="utf-8"?>
<sst xmlns="http://schemas.openxmlformats.org/spreadsheetml/2006/main" count="399" uniqueCount="138">
  <si>
    <t>Please enter the required information in the cells highlighted in green</t>
  </si>
  <si>
    <t>Uniformity of Weight Test Report</t>
  </si>
  <si>
    <t>Sample Name:</t>
  </si>
  <si>
    <t>KEFUCLAV 500 Tablets</t>
  </si>
  <si>
    <t>Laboratory Ref No:</t>
  </si>
  <si>
    <t>NDQD201412985</t>
  </si>
  <si>
    <t>Active Ingredient:</t>
  </si>
  <si>
    <t>Cefuroxime 500 mg &amp; Clavulanic Acid 125 mg</t>
  </si>
  <si>
    <t>Label Claim:</t>
  </si>
  <si>
    <t>Date Analysis Started:</t>
  </si>
  <si>
    <t>2014-12-09 13:34:24</t>
  </si>
  <si>
    <t>Date Analysis Completed:</t>
  </si>
  <si>
    <t>Analysis Data</t>
  </si>
  <si>
    <t>Uniformity of weight</t>
  </si>
  <si>
    <t>Tablet weight (mg)</t>
  </si>
  <si>
    <t>% Deviation</t>
  </si>
  <si>
    <t>Total</t>
  </si>
  <si>
    <t>Average</t>
  </si>
  <si>
    <t>% Deviation from mean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</si>
  <si>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</si>
  <si>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</si>
  <si>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</si>
  <si>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</si>
  <si>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</si>
  <si>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</si>
  <si>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</si>
  <si>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Analysis Report</t>
  </si>
  <si>
    <t>Reference Substance:</t>
  </si>
  <si>
    <t>Code:</t>
  </si>
  <si>
    <t>% age Purity: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</si>
  <si>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</si>
  <si>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</si>
  <si>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</si>
  <si>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</si>
  <si>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</si>
  <si>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</si>
  <si>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</si>
  <si>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</si>
  <si>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</si>
  <si>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</si>
  <si>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</si>
  <si>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</si>
  <si>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</si>
  <si>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</si>
  <si>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</si>
  <si>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</si>
  <si>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</si>
  <si>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</si>
  <si>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</si>
  <si>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</si>
  <si>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</si>
  <si>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</si>
  <si>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</si>
  <si>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</si>
  <si>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</si>
  <si>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</si>
  <si>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</si>
  <si>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</si>
  <si>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</si>
  <si>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</si>
  <si>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</si>
  <si>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</si>
  <si>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</si>
  <si>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</si>
  <si>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</si>
  <si>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</si>
  <si>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n:</t>
  </si>
  <si>
    <t>Determination of Content of Active Ingredient in the Sample</t>
  </si>
  <si>
    <t xml:space="preserve">Label Claim: </t>
  </si>
  <si>
    <t>Each Tablet/Capsule contains</t>
  </si>
  <si>
    <t>Average Tablet/Capsule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</si>
  <si>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</si>
  <si>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</si>
  <si>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</si>
  <si>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</si>
  <si>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</si>
  <si>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</si>
  <si>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</si>
  <si>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</si>
  <si>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</si>
  <si>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</si>
  <si>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</si>
  <si>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</si>
  <si>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</si>
  <si>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</si>
  <si>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</si>
  <si>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</si>
  <si>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</si>
  <si>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</si>
  <si>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</si>
  <si>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</si>
  <si>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</si>
  <si>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</si>
  <si>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</si>
  <si>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</si>
  <si>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</si>
  <si>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</si>
  <si>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</si>
  <si>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</si>
  <si>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</si>
  <si>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</si>
  <si>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</si>
  <si>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</si>
  <si>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</si>
  <si>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</si>
  <si>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</si>
  <si>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</si>
  <si>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KEFUCLAV 500 MG</t>
  </si>
  <si>
    <t>CEFUROXIME</t>
  </si>
  <si>
    <t>EACH FILM COATED TABLET CONTAINS CEFUROXIME 500MG AND CLAVULANIC ACID 125 MG</t>
  </si>
  <si>
    <t>CEFUROXIME AXETIL</t>
  </si>
  <si>
    <t>KEFUCLAV 500</t>
  </si>
  <si>
    <t>CLAVULANIC ACID</t>
  </si>
  <si>
    <t>HPLC System Suitability Report</t>
  </si>
  <si>
    <t>Assay</t>
  </si>
  <si>
    <t>Sample(s)</t>
  </si>
  <si>
    <t>Cefuroxime Axetil</t>
  </si>
  <si>
    <t>Weight (mg):</t>
  </si>
  <si>
    <t>Standard Conc (mg/mL):</t>
  </si>
  <si>
    <t>Injection Number</t>
  </si>
  <si>
    <t>Peak Areas Isimer A</t>
  </si>
  <si>
    <t xml:space="preserve">Theoretical Plates (USP) </t>
  </si>
  <si>
    <t>Tailing Factor (Assym)</t>
  </si>
  <si>
    <t>Retention Times (min)</t>
  </si>
  <si>
    <t>Peak Areas Isimer B</t>
  </si>
  <si>
    <t>Resolution (mins)_</t>
  </si>
  <si>
    <t>Averages:</t>
  </si>
  <si>
    <t xml:space="preserve">RSD: 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</si>
  <si>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</si>
  <si>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</si>
  <si>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</si>
  <si>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</si>
  <si>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</si>
  <si>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Clavulanate Lithium</t>
  </si>
  <si>
    <t>Peak Areas</t>
  </si>
  <si>
    <t>MUTUA</t>
  </si>
  <si>
    <t>Each film coated tablet contains Amorphous Cefuroxime Axetil USP equivalent to Cefuroxime 250 mg</t>
  </si>
  <si>
    <t xml:space="preserve"> &amp; diluted Potassium Clavulanate BP equivalent to Clavulanic Acid 62.5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</si>
</sst>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000"/>
    <numFmt numFmtId="165" formatCode="0.00000"/>
    <numFmt numFmtId="166" formatCode="[$-409]d/mmm/yy;@"/>
    <numFmt numFmtId="167" formatCode="0.0%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00000000000000%"/>
  </numFmts>
  <fonts count="27" x14ac:knownFonts="1">
    <font>
      <sz val="10"/>
      <color rgb="FF000000"/>
      <name val="Arial"/>
    </font>
    <font>
      <sz val="10"/>
      <color rgb="FF000000"/>
      <name val="Book Antiqua"/>
      <family val="1"/>
    </font>
    <font>
      <sz val="12"/>
      <color rgb="FF000000"/>
      <name val="Book Antiqua"/>
      <family val="1"/>
    </font>
    <font>
      <b/>
      <sz val="10"/>
      <color rgb="FF000000"/>
      <name val="Arial"/>
      <family val="2"/>
    </font>
    <font>
      <b/>
      <sz val="10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  <font>
      <b/>
      <sz val="11"/>
      <color rgb="FF000000"/>
      <name val="Book Antiqua"/>
      <family val="1"/>
    </font>
    <font>
      <sz val="11"/>
      <color rgb="FF000000"/>
      <name val="Book Antiqua"/>
      <family val="1"/>
    </font>
    <font>
      <sz val="11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969696"/>
        <bgColor rgb="FFFFFF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C0C0"/>
        <bgColor rgb="FFFFFFFF"/>
      </patternFill>
    </fill>
  </fills>
  <borders count="6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23" fillId="2" borderId="0"/>
    <xf numFmtId="0" fontId="23" fillId="2" borderId="0"/>
  </cellStyleXfs>
  <cellXfs count="537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0" fontId="1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/>
    <xf numFmtId="2" fontId="3" fillId="2" borderId="0" xfId="0" applyNumberFormat="1" applyFont="1" applyFill="1"/>
    <xf numFmtId="0" fontId="5" fillId="2" borderId="0" xfId="0" applyFont="1" applyFill="1" applyAlignment="1">
      <alignment horizontal="left"/>
    </xf>
    <xf numFmtId="0" fontId="2" fillId="2" borderId="0" xfId="0" applyFont="1" applyFill="1"/>
    <xf numFmtId="0" fontId="2" fillId="2" borderId="0" xfId="0" applyFont="1" applyFill="1"/>
    <xf numFmtId="0" fontId="6" fillId="2" borderId="0" xfId="0" applyFont="1" applyFill="1" applyAlignment="1">
      <alignment horizontal="right"/>
    </xf>
    <xf numFmtId="0" fontId="2" fillId="2" borderId="1" xfId="0" applyFont="1" applyFill="1" applyBorder="1"/>
    <xf numFmtId="0" fontId="2" fillId="2" borderId="0" xfId="0" applyFont="1" applyFill="1" applyAlignment="1">
      <alignment horizontal="center"/>
    </xf>
    <xf numFmtId="10" fontId="2" fillId="2" borderId="1" xfId="0" applyNumberFormat="1" applyFont="1" applyFill="1" applyBorder="1"/>
    <xf numFmtId="0" fontId="7" fillId="2" borderId="0" xfId="0" applyFont="1" applyFill="1"/>
    <xf numFmtId="0" fontId="6" fillId="2" borderId="2" xfId="0" applyFont="1" applyFill="1" applyBorder="1"/>
    <xf numFmtId="0" fontId="6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6" fillId="2" borderId="0" xfId="0" applyFont="1" applyFill="1" applyAlignment="1">
      <alignment horizontal="right"/>
    </xf>
    <xf numFmtId="0" fontId="2" fillId="2" borderId="3" xfId="0" applyFont="1" applyFill="1" applyBorder="1"/>
    <xf numFmtId="0" fontId="2" fillId="2" borderId="0" xfId="0" applyFont="1" applyFill="1"/>
    <xf numFmtId="0" fontId="2" fillId="2" borderId="3" xfId="0" applyFont="1" applyFill="1" applyBorder="1"/>
    <xf numFmtId="0" fontId="6" fillId="2" borderId="4" xfId="0" applyFont="1" applyFill="1" applyBorder="1"/>
    <xf numFmtId="0" fontId="6" fillId="2" borderId="0" xfId="0" applyFont="1" applyFill="1"/>
    <xf numFmtId="0" fontId="2" fillId="2" borderId="4" xfId="0" applyFont="1" applyFill="1" applyBorder="1"/>
    <xf numFmtId="166" fontId="2" fillId="2" borderId="0" xfId="0" applyNumberFormat="1" applyFont="1" applyFill="1"/>
    <xf numFmtId="164" fontId="2" fillId="2" borderId="0" xfId="0" applyNumberFormat="1" applyFont="1" applyFill="1" applyAlignment="1">
      <alignment horizontal="center"/>
    </xf>
    <xf numFmtId="2" fontId="6" fillId="2" borderId="0" xfId="0" applyNumberFormat="1" applyFont="1" applyFill="1"/>
    <xf numFmtId="10" fontId="1" fillId="2" borderId="0" xfId="0" applyNumberFormat="1" applyFont="1" applyFill="1"/>
    <xf numFmtId="2" fontId="6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center" vertical="center"/>
    </xf>
    <xf numFmtId="165" fontId="6" fillId="2" borderId="5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wrapText="1"/>
    </xf>
    <xf numFmtId="165" fontId="6" fillId="2" borderId="5" xfId="0" applyNumberFormat="1" applyFont="1" applyFill="1" applyBorder="1" applyAlignment="1">
      <alignment horizontal="center" wrapText="1"/>
    </xf>
    <xf numFmtId="10" fontId="2" fillId="2" borderId="6" xfId="0" applyNumberFormat="1" applyFont="1" applyFill="1" applyBorder="1" applyAlignment="1">
      <alignment horizontal="center"/>
    </xf>
    <xf numFmtId="10" fontId="2" fillId="2" borderId="7" xfId="0" applyNumberFormat="1" applyFont="1" applyFill="1" applyBorder="1" applyAlignment="1">
      <alignment horizontal="center"/>
    </xf>
    <xf numFmtId="10" fontId="2" fillId="2" borderId="8" xfId="0" applyNumberFormat="1" applyFont="1" applyFill="1" applyBorder="1" applyAlignment="1">
      <alignment horizontal="center"/>
    </xf>
    <xf numFmtId="0" fontId="5" fillId="2" borderId="0" xfId="0" applyFont="1" applyFill="1"/>
    <xf numFmtId="0" fontId="8" fillId="2" borderId="0" xfId="0" applyFont="1" applyFill="1" applyAlignment="1">
      <alignment wrapText="1"/>
    </xf>
    <xf numFmtId="0" fontId="6" fillId="2" borderId="5" xfId="0" applyFont="1" applyFill="1" applyBorder="1" applyAlignment="1">
      <alignment horizontal="center" vertical="center"/>
    </xf>
    <xf numFmtId="167" fontId="6" fillId="2" borderId="9" xfId="0" applyNumberFormat="1" applyFont="1" applyFill="1" applyBorder="1" applyAlignment="1">
      <alignment horizontal="center"/>
    </xf>
    <xf numFmtId="167" fontId="6" fillId="2" borderId="10" xfId="0" applyNumberFormat="1" applyFont="1" applyFill="1" applyBorder="1" applyAlignment="1">
      <alignment horizontal="center"/>
    </xf>
    <xf numFmtId="2" fontId="2" fillId="3" borderId="7" xfId="0" applyNumberFormat="1" applyFont="1" applyFill="1" applyBorder="1" applyProtection="1">
      <protection locked="0"/>
    </xf>
    <xf numFmtId="2" fontId="2" fillId="3" borderId="8" xfId="0" applyNumberFormat="1" applyFont="1" applyFill="1" applyBorder="1" applyProtection="1">
      <protection locked="0"/>
    </xf>
    <xf numFmtId="166" fontId="2" fillId="2" borderId="0" xfId="0" applyNumberFormat="1" applyFont="1" applyFill="1" applyAlignment="1">
      <alignment horizontal="center"/>
    </xf>
    <xf numFmtId="0" fontId="9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 applyAlignment="1" applyProtection="1">
      <alignment horizontal="left"/>
      <protection locked="0"/>
    </xf>
    <xf numFmtId="0" fontId="12" fillId="2" borderId="0" xfId="0" applyFont="1" applyFill="1"/>
    <xf numFmtId="0" fontId="9" fillId="3" borderId="0" xfId="0" applyFont="1" applyFill="1" applyProtection="1">
      <protection locked="0"/>
    </xf>
    <xf numFmtId="168" fontId="12" fillId="3" borderId="0" xfId="0" applyNumberFormat="1" applyFont="1" applyFill="1" applyAlignment="1" applyProtection="1">
      <alignment horizontal="center"/>
      <protection locked="0"/>
    </xf>
    <xf numFmtId="169" fontId="9" fillId="2" borderId="0" xfId="0" applyNumberFormat="1" applyFont="1" applyFill="1" applyAlignment="1">
      <alignment horizontal="left"/>
    </xf>
    <xf numFmtId="0" fontId="13" fillId="2" borderId="0" xfId="0" applyFont="1" applyFill="1" applyAlignment="1">
      <alignment horizontal="left"/>
    </xf>
    <xf numFmtId="0" fontId="10" fillId="2" borderId="0" xfId="0" applyFont="1" applyFill="1" applyAlignment="1">
      <alignment horizontal="right"/>
    </xf>
    <xf numFmtId="0" fontId="9" fillId="2" borderId="0" xfId="0" applyFont="1" applyFill="1" applyAlignment="1">
      <alignment horizontal="right"/>
    </xf>
    <xf numFmtId="0" fontId="11" fillId="3" borderId="0" xfId="0" applyFont="1" applyFill="1" applyAlignment="1" applyProtection="1">
      <alignment horizontal="center"/>
      <protection locked="0"/>
    </xf>
    <xf numFmtId="0" fontId="12" fillId="3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0" fontId="10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1" fillId="3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vertical="center" wrapText="1"/>
    </xf>
    <xf numFmtId="0" fontId="17" fillId="2" borderId="0" xfId="0" applyFont="1" applyFill="1"/>
    <xf numFmtId="2" fontId="10" fillId="2" borderId="0" xfId="0" applyNumberFormat="1" applyFont="1" applyFill="1" applyAlignment="1">
      <alignment horizontal="center"/>
    </xf>
    <xf numFmtId="0" fontId="18" fillId="2" borderId="0" xfId="0" applyFont="1" applyFill="1" applyAlignment="1">
      <alignment horizontal="left" vertical="center" wrapText="1"/>
    </xf>
    <xf numFmtId="170" fontId="10" fillId="2" borderId="0" xfId="0" applyNumberFormat="1" applyFont="1" applyFill="1" applyAlignment="1">
      <alignment horizontal="center"/>
    </xf>
    <xf numFmtId="0" fontId="9" fillId="2" borderId="14" xfId="0" applyFont="1" applyFill="1" applyBorder="1" applyAlignment="1">
      <alignment horizontal="right"/>
    </xf>
    <xf numFmtId="0" fontId="11" fillId="3" borderId="15" xfId="0" applyFont="1" applyFill="1" applyBorder="1" applyAlignment="1" applyProtection="1">
      <alignment horizontal="center"/>
      <protection locked="0"/>
    </xf>
    <xf numFmtId="0" fontId="9" fillId="2" borderId="16" xfId="0" applyFont="1" applyFill="1" applyBorder="1" applyAlignment="1">
      <alignment horizontal="right"/>
    </xf>
    <xf numFmtId="0" fontId="11" fillId="3" borderId="17" xfId="0" applyFont="1" applyFill="1" applyBorder="1" applyAlignment="1" applyProtection="1">
      <alignment horizontal="center"/>
      <protection locked="0"/>
    </xf>
    <xf numFmtId="0" fontId="10" fillId="2" borderId="15" xfId="0" applyFont="1" applyFill="1" applyBorder="1" applyAlignment="1">
      <alignment horizontal="center"/>
    </xf>
    <xf numFmtId="0" fontId="10" fillId="2" borderId="18" xfId="0" applyFont="1" applyFill="1" applyBorder="1" applyAlignment="1">
      <alignment horizontal="center"/>
    </xf>
    <xf numFmtId="0" fontId="10" fillId="2" borderId="19" xfId="0" applyFont="1" applyFill="1" applyBorder="1" applyAlignment="1">
      <alignment horizontal="center"/>
    </xf>
    <xf numFmtId="0" fontId="10" fillId="2" borderId="20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9" fillId="2" borderId="21" xfId="0" applyFont="1" applyFill="1" applyBorder="1" applyAlignment="1">
      <alignment horizontal="center"/>
    </xf>
    <xf numFmtId="0" fontId="11" fillId="3" borderId="22" xfId="0" applyFont="1" applyFill="1" applyBorder="1" applyAlignment="1" applyProtection="1">
      <alignment horizontal="center"/>
      <protection locked="0"/>
    </xf>
    <xf numFmtId="171" fontId="9" fillId="2" borderId="19" xfId="0" applyNumberFormat="1" applyFont="1" applyFill="1" applyBorder="1" applyAlignment="1">
      <alignment horizontal="center"/>
    </xf>
    <xf numFmtId="171" fontId="9" fillId="2" borderId="23" xfId="0" applyNumberFormat="1" applyFont="1" applyFill="1" applyBorder="1" applyAlignment="1">
      <alignment horizontal="center"/>
    </xf>
    <xf numFmtId="0" fontId="17" fillId="2" borderId="6" xfId="0" applyFont="1" applyFill="1" applyBorder="1"/>
    <xf numFmtId="0" fontId="9" fillId="2" borderId="17" xfId="0" applyFont="1" applyFill="1" applyBorder="1" applyAlignment="1">
      <alignment horizontal="center"/>
    </xf>
    <xf numFmtId="0" fontId="11" fillId="3" borderId="16" xfId="0" applyFont="1" applyFill="1" applyBorder="1" applyAlignment="1" applyProtection="1">
      <alignment horizontal="center"/>
      <protection locked="0"/>
    </xf>
    <xf numFmtId="171" fontId="9" fillId="2" borderId="24" xfId="0" applyNumberFormat="1" applyFont="1" applyFill="1" applyBorder="1" applyAlignment="1">
      <alignment horizontal="center"/>
    </xf>
    <xf numFmtId="171" fontId="9" fillId="2" borderId="25" xfId="0" applyNumberFormat="1" applyFont="1" applyFill="1" applyBorder="1" applyAlignment="1">
      <alignment horizontal="center"/>
    </xf>
    <xf numFmtId="0" fontId="9" fillId="2" borderId="0" xfId="0" applyFont="1" applyFill="1"/>
    <xf numFmtId="0" fontId="9" fillId="2" borderId="26" xfId="0" applyFont="1" applyFill="1" applyBorder="1" applyAlignment="1">
      <alignment horizontal="center"/>
    </xf>
    <xf numFmtId="0" fontId="11" fillId="3" borderId="27" xfId="0" applyFont="1" applyFill="1" applyBorder="1" applyAlignment="1" applyProtection="1">
      <alignment horizontal="center"/>
      <protection locked="0"/>
    </xf>
    <xf numFmtId="171" fontId="9" fillId="2" borderId="28" xfId="0" applyNumberFormat="1" applyFont="1" applyFill="1" applyBorder="1" applyAlignment="1">
      <alignment horizontal="center"/>
    </xf>
    <xf numFmtId="171" fontId="9" fillId="2" borderId="29" xfId="0" applyNumberFormat="1" applyFont="1" applyFill="1" applyBorder="1" applyAlignment="1">
      <alignment horizontal="center"/>
    </xf>
    <xf numFmtId="0" fontId="9" fillId="2" borderId="8" xfId="0" applyFont="1" applyFill="1" applyBorder="1"/>
    <xf numFmtId="0" fontId="9" fillId="2" borderId="17" xfId="0" applyFont="1" applyFill="1" applyBorder="1" applyAlignment="1">
      <alignment horizontal="right"/>
    </xf>
    <xf numFmtId="1" fontId="10" fillId="4" borderId="30" xfId="0" applyNumberFormat="1" applyFont="1" applyFill="1" applyBorder="1" applyAlignment="1">
      <alignment horizontal="center"/>
    </xf>
    <xf numFmtId="171" fontId="10" fillId="4" borderId="31" xfId="0" applyNumberFormat="1" applyFont="1" applyFill="1" applyBorder="1" applyAlignment="1">
      <alignment horizontal="center"/>
    </xf>
    <xf numFmtId="171" fontId="10" fillId="4" borderId="32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9" fillId="2" borderId="33" xfId="0" applyFont="1" applyFill="1" applyBorder="1" applyAlignment="1">
      <alignment horizontal="right"/>
    </xf>
    <xf numFmtId="0" fontId="9" fillId="2" borderId="4" xfId="0" applyFont="1" applyFill="1" applyBorder="1" applyAlignment="1">
      <alignment horizontal="right"/>
    </xf>
    <xf numFmtId="2" fontId="9" fillId="4" borderId="34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17" xfId="0" applyFont="1" applyFill="1" applyBorder="1" applyAlignment="1">
      <alignment horizontal="center"/>
    </xf>
    <xf numFmtId="2" fontId="9" fillId="5" borderId="34" xfId="0" applyNumberFormat="1" applyFont="1" applyFill="1" applyBorder="1" applyAlignment="1">
      <alignment horizontal="center"/>
    </xf>
    <xf numFmtId="2" fontId="9" fillId="2" borderId="0" xfId="0" applyNumberFormat="1" applyFont="1" applyFill="1" applyAlignment="1">
      <alignment horizontal="center"/>
    </xf>
    <xf numFmtId="164" fontId="9" fillId="4" borderId="34" xfId="0" applyNumberFormat="1" applyFont="1" applyFill="1" applyBorder="1" applyAlignment="1">
      <alignment horizontal="center"/>
    </xf>
    <xf numFmtId="164" fontId="9" fillId="2" borderId="0" xfId="0" applyNumberFormat="1" applyFont="1" applyFill="1" applyAlignment="1">
      <alignment horizontal="center"/>
    </xf>
    <xf numFmtId="164" fontId="9" fillId="4" borderId="10" xfId="0" applyNumberFormat="1" applyFont="1" applyFill="1" applyBorder="1" applyAlignment="1">
      <alignment horizontal="center"/>
    </xf>
    <xf numFmtId="0" fontId="9" fillId="2" borderId="35" xfId="0" applyFont="1" applyFill="1" applyBorder="1" applyAlignment="1">
      <alignment horizontal="right"/>
    </xf>
    <xf numFmtId="164" fontId="11" fillId="3" borderId="34" xfId="0" applyNumberFormat="1" applyFont="1" applyFill="1" applyBorder="1" applyAlignment="1" applyProtection="1">
      <alignment horizontal="center"/>
      <protection locked="0"/>
    </xf>
    <xf numFmtId="164" fontId="9" fillId="2" borderId="0" xfId="0" applyNumberFormat="1" applyFont="1" applyFill="1"/>
    <xf numFmtId="0" fontId="9" fillId="2" borderId="22" xfId="0" applyFont="1" applyFill="1" applyBorder="1" applyAlignment="1">
      <alignment horizontal="right"/>
    </xf>
    <xf numFmtId="1" fontId="9" fillId="2" borderId="0" xfId="0" applyNumberFormat="1" applyFont="1" applyFill="1" applyAlignment="1">
      <alignment horizontal="center"/>
    </xf>
    <xf numFmtId="0" fontId="9" fillId="2" borderId="8" xfId="0" applyFont="1" applyFill="1" applyBorder="1" applyAlignment="1">
      <alignment horizontal="right"/>
    </xf>
    <xf numFmtId="2" fontId="9" fillId="4" borderId="8" xfId="0" applyNumberFormat="1" applyFont="1" applyFill="1" applyBorder="1" applyAlignment="1">
      <alignment horizontal="center"/>
    </xf>
    <xf numFmtId="171" fontId="10" fillId="5" borderId="6" xfId="0" applyNumberFormat="1" applyFont="1" applyFill="1" applyBorder="1" applyAlignment="1">
      <alignment horizontal="center"/>
    </xf>
    <xf numFmtId="171" fontId="9" fillId="2" borderId="0" xfId="0" applyNumberFormat="1" applyFont="1" applyFill="1" applyAlignment="1">
      <alignment horizontal="center"/>
    </xf>
    <xf numFmtId="10" fontId="9" fillId="4" borderId="34" xfId="0" applyNumberFormat="1" applyFont="1" applyFill="1" applyBorder="1" applyAlignment="1">
      <alignment horizontal="center"/>
    </xf>
    <xf numFmtId="0" fontId="9" fillId="2" borderId="36" xfId="0" applyFont="1" applyFill="1" applyBorder="1" applyAlignment="1">
      <alignment horizontal="right"/>
    </xf>
    <xf numFmtId="0" fontId="9" fillId="5" borderId="8" xfId="0" applyFont="1" applyFill="1" applyBorder="1" applyAlignment="1">
      <alignment horizontal="center"/>
    </xf>
    <xf numFmtId="0" fontId="13" fillId="2" borderId="0" xfId="0" applyFont="1" applyFill="1"/>
    <xf numFmtId="0" fontId="10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172" fontId="11" fillId="3" borderId="0" xfId="0" applyNumberFormat="1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horizontal="center"/>
    </xf>
    <xf numFmtId="2" fontId="10" fillId="2" borderId="6" xfId="0" applyNumberFormat="1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11" fillId="3" borderId="14" xfId="0" applyFont="1" applyFill="1" applyBorder="1" applyAlignment="1" applyProtection="1">
      <alignment horizontal="center"/>
      <protection locked="0"/>
    </xf>
    <xf numFmtId="10" fontId="9" fillId="2" borderId="6" xfId="0" applyNumberFormat="1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/>
    </xf>
    <xf numFmtId="10" fontId="9" fillId="2" borderId="7" xfId="0" applyNumberFormat="1" applyFont="1" applyFill="1" applyBorder="1" applyAlignment="1">
      <alignment horizontal="center" vertical="center"/>
    </xf>
    <xf numFmtId="1" fontId="11" fillId="3" borderId="16" xfId="0" applyNumberFormat="1" applyFont="1" applyFill="1" applyBorder="1" applyAlignment="1" applyProtection="1">
      <alignment horizontal="center"/>
      <protection locked="0"/>
    </xf>
    <xf numFmtId="0" fontId="9" fillId="2" borderId="8" xfId="0" applyFont="1" applyFill="1" applyBorder="1" applyAlignment="1">
      <alignment horizontal="center"/>
    </xf>
    <xf numFmtId="0" fontId="11" fillId="3" borderId="36" xfId="0" applyFont="1" applyFill="1" applyBorder="1" applyAlignment="1" applyProtection="1">
      <alignment horizontal="center"/>
      <protection locked="0"/>
    </xf>
    <xf numFmtId="10" fontId="9" fillId="2" borderId="15" xfId="0" applyNumberFormat="1" applyFont="1" applyFill="1" applyBorder="1" applyAlignment="1">
      <alignment horizontal="center" vertical="center"/>
    </xf>
    <xf numFmtId="10" fontId="9" fillId="2" borderId="17" xfId="0" applyNumberFormat="1" applyFont="1" applyFill="1" applyBorder="1" applyAlignment="1">
      <alignment horizontal="center" vertical="center"/>
    </xf>
    <xf numFmtId="10" fontId="9" fillId="2" borderId="37" xfId="0" applyNumberFormat="1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/>
    </xf>
    <xf numFmtId="2" fontId="12" fillId="2" borderId="37" xfId="0" applyNumberFormat="1" applyFont="1" applyFill="1" applyBorder="1" applyAlignment="1">
      <alignment horizontal="center"/>
    </xf>
    <xf numFmtId="10" fontId="9" fillId="2" borderId="8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38" xfId="0" applyFont="1" applyFill="1" applyBorder="1" applyAlignment="1">
      <alignment horizontal="right"/>
    </xf>
    <xf numFmtId="10" fontId="11" fillId="5" borderId="26" xfId="0" applyNumberFormat="1" applyFont="1" applyFill="1" applyBorder="1" applyAlignment="1">
      <alignment horizontal="center"/>
    </xf>
    <xf numFmtId="0" fontId="9" fillId="2" borderId="34" xfId="0" applyFont="1" applyFill="1" applyBorder="1" applyAlignment="1">
      <alignment horizontal="right"/>
    </xf>
    <xf numFmtId="2" fontId="9" fillId="2" borderId="0" xfId="0" applyNumberFormat="1" applyFont="1" applyFill="1" applyAlignment="1">
      <alignment horizontal="center"/>
    </xf>
    <xf numFmtId="0" fontId="9" fillId="2" borderId="10" xfId="0" applyFont="1" applyFill="1" applyBorder="1" applyAlignment="1">
      <alignment horizontal="right"/>
    </xf>
    <xf numFmtId="0" fontId="11" fillId="5" borderId="39" xfId="0" applyFon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0" fontId="9" fillId="2" borderId="0" xfId="0" applyFont="1" applyFill="1"/>
    <xf numFmtId="167" fontId="11" fillId="2" borderId="0" xfId="0" applyNumberFormat="1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1" fillId="3" borderId="0" xfId="0" applyFont="1" applyFill="1" applyAlignment="1" applyProtection="1">
      <alignment horizontal="center"/>
      <protection locked="0"/>
    </xf>
    <xf numFmtId="0" fontId="10" fillId="2" borderId="40" xfId="0" applyFont="1" applyFill="1" applyBorder="1" applyAlignment="1">
      <alignment horizontal="center"/>
    </xf>
    <xf numFmtId="0" fontId="10" fillId="2" borderId="33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center"/>
    </xf>
    <xf numFmtId="0" fontId="9" fillId="2" borderId="41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1" fontId="10" fillId="4" borderId="42" xfId="0" applyNumberFormat="1" applyFont="1" applyFill="1" applyBorder="1" applyAlignment="1">
      <alignment horizontal="center"/>
    </xf>
    <xf numFmtId="1" fontId="10" fillId="4" borderId="43" xfId="0" applyNumberFormat="1" applyFont="1" applyFill="1" applyBorder="1" applyAlignment="1">
      <alignment horizontal="center"/>
    </xf>
    <xf numFmtId="171" fontId="10" fillId="4" borderId="8" xfId="0" applyNumberFormat="1" applyFont="1" applyFill="1" applyBorder="1" applyAlignment="1">
      <alignment horizontal="center"/>
    </xf>
    <xf numFmtId="0" fontId="9" fillId="2" borderId="44" xfId="0" applyFont="1" applyFill="1" applyBorder="1" applyAlignment="1">
      <alignment horizontal="right"/>
    </xf>
    <xf numFmtId="0" fontId="9" fillId="2" borderId="18" xfId="0" applyFont="1" applyFill="1" applyBorder="1" applyAlignment="1">
      <alignment horizontal="right"/>
    </xf>
    <xf numFmtId="2" fontId="9" fillId="4" borderId="20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2" fontId="9" fillId="5" borderId="20" xfId="0" applyNumberFormat="1" applyFont="1" applyFill="1" applyBorder="1" applyAlignment="1">
      <alignment horizontal="center"/>
    </xf>
    <xf numFmtId="164" fontId="9" fillId="4" borderId="20" xfId="0" applyNumberFormat="1" applyFont="1" applyFill="1" applyBorder="1" applyAlignment="1">
      <alignment horizontal="center"/>
    </xf>
    <xf numFmtId="0" fontId="1" fillId="2" borderId="0" xfId="0" applyFont="1" applyFill="1"/>
    <xf numFmtId="164" fontId="9" fillId="5" borderId="20" xfId="0" applyNumberFormat="1" applyFont="1" applyFill="1" applyBorder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9" fillId="2" borderId="46" xfId="0" applyFont="1" applyFill="1" applyBorder="1" applyAlignment="1">
      <alignment horizontal="right"/>
    </xf>
    <xf numFmtId="2" fontId="9" fillId="5" borderId="23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 wrapText="1"/>
    </xf>
    <xf numFmtId="0" fontId="9" fillId="2" borderId="9" xfId="0" applyFont="1" applyFill="1" applyBorder="1" applyAlignment="1">
      <alignment horizontal="right"/>
    </xf>
    <xf numFmtId="171" fontId="10" fillId="5" borderId="9" xfId="0" applyNumberFormat="1" applyFont="1" applyFill="1" applyBorder="1" applyAlignment="1">
      <alignment horizontal="center"/>
    </xf>
    <xf numFmtId="2" fontId="1" fillId="2" borderId="0" xfId="0" applyNumberFormat="1" applyFont="1" applyFill="1" applyAlignment="1">
      <alignment horizontal="center"/>
    </xf>
    <xf numFmtId="10" fontId="9" fillId="2" borderId="0" xfId="0" applyNumberFormat="1" applyFont="1" applyFill="1" applyAlignment="1">
      <alignment horizontal="center"/>
    </xf>
    <xf numFmtId="10" fontId="10" fillId="4" borderId="34" xfId="0" applyNumberFormat="1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/>
    </xf>
    <xf numFmtId="0" fontId="10" fillId="2" borderId="40" xfId="0" applyFont="1" applyFill="1" applyBorder="1" applyAlignment="1">
      <alignment horizontal="center"/>
    </xf>
    <xf numFmtId="0" fontId="10" fillId="2" borderId="47" xfId="0" applyFont="1" applyFill="1" applyBorder="1" applyAlignment="1">
      <alignment horizontal="center"/>
    </xf>
    <xf numFmtId="0" fontId="10" fillId="2" borderId="48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 wrapText="1"/>
    </xf>
    <xf numFmtId="0" fontId="9" fillId="2" borderId="16" xfId="0" applyFont="1" applyFill="1" applyBorder="1" applyAlignment="1">
      <alignment horizontal="center"/>
    </xf>
    <xf numFmtId="10" fontId="9" fillId="2" borderId="23" xfId="0" applyNumberFormat="1" applyFont="1" applyFill="1" applyBorder="1" applyAlignment="1">
      <alignment horizontal="center"/>
    </xf>
    <xf numFmtId="10" fontId="9" fillId="2" borderId="25" xfId="0" applyNumberFormat="1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10" fontId="9" fillId="2" borderId="29" xfId="0" applyNumberFormat="1" applyFont="1" applyFill="1" applyBorder="1" applyAlignment="1">
      <alignment horizontal="center"/>
    </xf>
    <xf numFmtId="2" fontId="9" fillId="2" borderId="17" xfId="0" applyNumberFormat="1" applyFont="1" applyFill="1" applyBorder="1" applyAlignment="1">
      <alignment horizontal="center"/>
    </xf>
    <xf numFmtId="171" fontId="10" fillId="2" borderId="0" xfId="0" applyNumberFormat="1" applyFont="1" applyFill="1" applyAlignment="1">
      <alignment horizontal="center"/>
    </xf>
    <xf numFmtId="171" fontId="9" fillId="2" borderId="49" xfId="0" applyNumberFormat="1" applyFont="1" applyFill="1" applyBorder="1" applyAlignment="1">
      <alignment horizontal="right"/>
    </xf>
    <xf numFmtId="10" fontId="11" fillId="5" borderId="20" xfId="0" applyNumberFormat="1" applyFont="1" applyFill="1" applyBorder="1" applyAlignment="1">
      <alignment horizontal="center"/>
    </xf>
    <xf numFmtId="0" fontId="9" fillId="2" borderId="16" xfId="0" applyFont="1" applyFill="1" applyBorder="1"/>
    <xf numFmtId="0" fontId="9" fillId="2" borderId="50" xfId="0" applyFont="1" applyFill="1" applyBorder="1"/>
    <xf numFmtId="0" fontId="9" fillId="2" borderId="36" xfId="0" applyFont="1" applyFill="1" applyBorder="1"/>
    <xf numFmtId="0" fontId="9" fillId="2" borderId="51" xfId="0" applyFont="1" applyFill="1" applyBorder="1" applyAlignment="1">
      <alignment horizontal="center"/>
    </xf>
    <xf numFmtId="0" fontId="9" fillId="2" borderId="52" xfId="0" applyFont="1" applyFill="1" applyBorder="1" applyAlignment="1">
      <alignment horizontal="right"/>
    </xf>
    <xf numFmtId="0" fontId="11" fillId="5" borderId="10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/>
    <xf numFmtId="0" fontId="9" fillId="2" borderId="2" xfId="0" applyFont="1" applyFill="1" applyBorder="1" applyAlignment="1">
      <alignment horizontal="center"/>
    </xf>
    <xf numFmtId="0" fontId="10" fillId="2" borderId="0" xfId="0" applyFont="1" applyFill="1" applyAlignment="1">
      <alignment horizontal="right"/>
    </xf>
    <xf numFmtId="0" fontId="9" fillId="2" borderId="3" xfId="0" applyFont="1" applyFill="1" applyBorder="1"/>
    <xf numFmtId="0" fontId="9" fillId="2" borderId="3" xfId="0" applyFont="1" applyFill="1" applyBorder="1"/>
    <xf numFmtId="0" fontId="10" fillId="2" borderId="4" xfId="0" applyFont="1" applyFill="1" applyBorder="1"/>
    <xf numFmtId="0" fontId="9" fillId="2" borderId="4" xfId="0" applyFont="1" applyFill="1" applyBorder="1"/>
    <xf numFmtId="0" fontId="18" fillId="2" borderId="0" xfId="0" applyFont="1" applyFill="1" applyAlignment="1">
      <alignment horizontal="right" vertical="center" wrapText="1"/>
    </xf>
    <xf numFmtId="0" fontId="11" fillId="2" borderId="0" xfId="0" applyFont="1" applyFill="1" applyAlignment="1" applyProtection="1">
      <alignment horizontal="right"/>
      <protection locked="0"/>
    </xf>
    <xf numFmtId="164" fontId="10" fillId="2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Protection="1">
      <protection locked="0"/>
    </xf>
    <xf numFmtId="164" fontId="9" fillId="2" borderId="14" xfId="0" applyNumberFormat="1" applyFont="1" applyFill="1" applyBorder="1" applyAlignment="1">
      <alignment horizontal="center"/>
    </xf>
    <xf numFmtId="164" fontId="9" fillId="2" borderId="16" xfId="0" applyNumberFormat="1" applyFont="1" applyFill="1" applyBorder="1" applyAlignment="1">
      <alignment horizontal="center"/>
    </xf>
    <xf numFmtId="164" fontId="9" fillId="2" borderId="6" xfId="0" applyNumberFormat="1" applyFont="1" applyFill="1" applyBorder="1" applyAlignment="1">
      <alignment horizontal="center"/>
    </xf>
    <xf numFmtId="164" fontId="9" fillId="2" borderId="7" xfId="0" applyNumberFormat="1" applyFont="1" applyFill="1" applyBorder="1" applyAlignment="1">
      <alignment horizontal="center"/>
    </xf>
    <xf numFmtId="164" fontId="9" fillId="2" borderId="8" xfId="0" applyNumberFormat="1" applyFont="1" applyFill="1" applyBorder="1" applyAlignment="1">
      <alignment horizontal="center"/>
    </xf>
    <xf numFmtId="10" fontId="11" fillId="4" borderId="53" xfId="0" applyNumberFormat="1" applyFont="1" applyFill="1" applyBorder="1" applyAlignment="1">
      <alignment horizontal="center"/>
    </xf>
    <xf numFmtId="164" fontId="9" fillId="2" borderId="19" xfId="0" applyNumberFormat="1" applyFont="1" applyFill="1" applyBorder="1" applyAlignment="1">
      <alignment horizontal="center"/>
    </xf>
    <xf numFmtId="164" fontId="9" fillId="2" borderId="24" xfId="0" applyNumberFormat="1" applyFont="1" applyFill="1" applyBorder="1" applyAlignment="1">
      <alignment horizontal="center"/>
    </xf>
    <xf numFmtId="164" fontId="9" fillId="2" borderId="28" xfId="0" applyNumberFormat="1" applyFont="1" applyFill="1" applyBorder="1" applyAlignment="1">
      <alignment horizontal="center"/>
    </xf>
    <xf numFmtId="0" fontId="9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 applyAlignment="1" applyProtection="1">
      <alignment horizontal="left"/>
      <protection locked="0"/>
    </xf>
    <xf numFmtId="0" fontId="12" fillId="2" borderId="0" xfId="0" applyFont="1" applyFill="1"/>
    <xf numFmtId="0" fontId="9" fillId="3" borderId="0" xfId="0" applyFont="1" applyFill="1" applyProtection="1">
      <protection locked="0"/>
    </xf>
    <xf numFmtId="168" fontId="12" fillId="3" borderId="0" xfId="0" applyNumberFormat="1" applyFont="1" applyFill="1" applyAlignment="1" applyProtection="1">
      <alignment horizontal="center"/>
      <protection locked="0"/>
    </xf>
    <xf numFmtId="169" fontId="9" fillId="2" borderId="0" xfId="0" applyNumberFormat="1" applyFont="1" applyFill="1" applyAlignment="1">
      <alignment horizontal="left"/>
    </xf>
    <xf numFmtId="0" fontId="13" fillId="2" borderId="0" xfId="0" applyFont="1" applyFill="1" applyAlignment="1">
      <alignment horizontal="left"/>
    </xf>
    <xf numFmtId="0" fontId="10" fillId="2" borderId="0" xfId="0" applyFont="1" applyFill="1" applyAlignment="1">
      <alignment horizontal="right"/>
    </xf>
    <xf numFmtId="0" fontId="9" fillId="2" borderId="0" xfId="0" applyFont="1" applyFill="1" applyAlignment="1">
      <alignment horizontal="right"/>
    </xf>
    <xf numFmtId="0" fontId="11" fillId="3" borderId="0" xfId="0" applyFont="1" applyFill="1" applyAlignment="1" applyProtection="1">
      <alignment horizontal="center"/>
      <protection locked="0"/>
    </xf>
    <xf numFmtId="0" fontId="12" fillId="3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0" fontId="10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1" fillId="3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vertical="center" wrapText="1"/>
    </xf>
    <xf numFmtId="0" fontId="17" fillId="2" borderId="0" xfId="0" applyFont="1" applyFill="1"/>
    <xf numFmtId="2" fontId="10" fillId="2" borderId="0" xfId="0" applyNumberFormat="1" applyFont="1" applyFill="1" applyAlignment="1">
      <alignment horizontal="center"/>
    </xf>
    <xf numFmtId="0" fontId="18" fillId="2" borderId="0" xfId="0" applyFont="1" applyFill="1" applyAlignment="1">
      <alignment horizontal="left" vertical="center" wrapText="1"/>
    </xf>
    <xf numFmtId="170" fontId="10" fillId="2" borderId="0" xfId="0" applyNumberFormat="1" applyFont="1" applyFill="1" applyAlignment="1">
      <alignment horizontal="center"/>
    </xf>
    <xf numFmtId="0" fontId="9" fillId="2" borderId="14" xfId="0" applyFont="1" applyFill="1" applyBorder="1" applyAlignment="1">
      <alignment horizontal="right"/>
    </xf>
    <xf numFmtId="0" fontId="11" fillId="3" borderId="15" xfId="0" applyFont="1" applyFill="1" applyBorder="1" applyAlignment="1" applyProtection="1">
      <alignment horizontal="center"/>
      <protection locked="0"/>
    </xf>
    <xf numFmtId="0" fontId="9" fillId="2" borderId="16" xfId="0" applyFont="1" applyFill="1" applyBorder="1" applyAlignment="1">
      <alignment horizontal="right"/>
    </xf>
    <xf numFmtId="0" fontId="11" fillId="3" borderId="17" xfId="0" applyFont="1" applyFill="1" applyBorder="1" applyAlignment="1" applyProtection="1">
      <alignment horizontal="center"/>
      <protection locked="0"/>
    </xf>
    <xf numFmtId="0" fontId="10" fillId="2" borderId="15" xfId="0" applyFont="1" applyFill="1" applyBorder="1" applyAlignment="1">
      <alignment horizontal="center"/>
    </xf>
    <xf numFmtId="0" fontId="10" fillId="2" borderId="18" xfId="0" applyFont="1" applyFill="1" applyBorder="1" applyAlignment="1">
      <alignment horizontal="center"/>
    </xf>
    <xf numFmtId="0" fontId="10" fillId="2" borderId="19" xfId="0" applyFont="1" applyFill="1" applyBorder="1" applyAlignment="1">
      <alignment horizontal="center"/>
    </xf>
    <xf numFmtId="0" fontId="10" fillId="2" borderId="20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9" fillId="2" borderId="21" xfId="0" applyFont="1" applyFill="1" applyBorder="1" applyAlignment="1">
      <alignment horizontal="center"/>
    </xf>
    <xf numFmtId="171" fontId="9" fillId="2" borderId="19" xfId="0" applyNumberFormat="1" applyFont="1" applyFill="1" applyBorder="1" applyAlignment="1">
      <alignment horizontal="center"/>
    </xf>
    <xf numFmtId="171" fontId="9" fillId="2" borderId="23" xfId="0" applyNumberFormat="1" applyFont="1" applyFill="1" applyBorder="1" applyAlignment="1">
      <alignment horizontal="center"/>
    </xf>
    <xf numFmtId="0" fontId="17" fillId="2" borderId="6" xfId="0" applyFont="1" applyFill="1" applyBorder="1"/>
    <xf numFmtId="0" fontId="9" fillId="2" borderId="17" xfId="0" applyFont="1" applyFill="1" applyBorder="1" applyAlignment="1">
      <alignment horizontal="center"/>
    </xf>
    <xf numFmtId="0" fontId="11" fillId="3" borderId="16" xfId="0" applyFont="1" applyFill="1" applyBorder="1" applyAlignment="1" applyProtection="1">
      <alignment horizontal="center"/>
      <protection locked="0"/>
    </xf>
    <xf numFmtId="171" fontId="9" fillId="2" borderId="24" xfId="0" applyNumberFormat="1" applyFont="1" applyFill="1" applyBorder="1" applyAlignment="1">
      <alignment horizontal="center"/>
    </xf>
    <xf numFmtId="171" fontId="9" fillId="2" borderId="25" xfId="0" applyNumberFormat="1" applyFont="1" applyFill="1" applyBorder="1" applyAlignment="1">
      <alignment horizontal="center"/>
    </xf>
    <xf numFmtId="0" fontId="9" fillId="2" borderId="0" xfId="0" applyFont="1" applyFill="1"/>
    <xf numFmtId="0" fontId="9" fillId="2" borderId="26" xfId="0" applyFont="1" applyFill="1" applyBorder="1" applyAlignment="1">
      <alignment horizontal="center"/>
    </xf>
    <xf numFmtId="0" fontId="11" fillId="3" borderId="27" xfId="0" applyFont="1" applyFill="1" applyBorder="1" applyAlignment="1" applyProtection="1">
      <alignment horizontal="center"/>
      <protection locked="0"/>
    </xf>
    <xf numFmtId="171" fontId="9" fillId="2" borderId="28" xfId="0" applyNumberFormat="1" applyFont="1" applyFill="1" applyBorder="1" applyAlignment="1">
      <alignment horizontal="center"/>
    </xf>
    <xf numFmtId="171" fontId="9" fillId="2" borderId="29" xfId="0" applyNumberFormat="1" applyFont="1" applyFill="1" applyBorder="1" applyAlignment="1">
      <alignment horizontal="center"/>
    </xf>
    <xf numFmtId="0" fontId="9" fillId="2" borderId="8" xfId="0" applyFont="1" applyFill="1" applyBorder="1"/>
    <xf numFmtId="0" fontId="9" fillId="2" borderId="17" xfId="0" applyFont="1" applyFill="1" applyBorder="1" applyAlignment="1">
      <alignment horizontal="right"/>
    </xf>
    <xf numFmtId="1" fontId="10" fillId="4" borderId="30" xfId="0" applyNumberFormat="1" applyFont="1" applyFill="1" applyBorder="1" applyAlignment="1">
      <alignment horizontal="center"/>
    </xf>
    <xf numFmtId="171" fontId="10" fillId="4" borderId="31" xfId="0" applyNumberFormat="1" applyFont="1" applyFill="1" applyBorder="1" applyAlignment="1">
      <alignment horizontal="center"/>
    </xf>
    <xf numFmtId="171" fontId="10" fillId="4" borderId="32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9" fillId="2" borderId="33" xfId="0" applyFont="1" applyFill="1" applyBorder="1" applyAlignment="1">
      <alignment horizontal="right"/>
    </xf>
    <xf numFmtId="0" fontId="11" fillId="3" borderId="9" xfId="0" applyFont="1" applyFill="1" applyBorder="1" applyAlignment="1" applyProtection="1">
      <alignment horizontal="center"/>
      <protection locked="0"/>
    </xf>
    <xf numFmtId="0" fontId="9" fillId="2" borderId="4" xfId="0" applyFont="1" applyFill="1" applyBorder="1" applyAlignment="1">
      <alignment horizontal="right"/>
    </xf>
    <xf numFmtId="2" fontId="9" fillId="4" borderId="34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17" xfId="0" applyFont="1" applyFill="1" applyBorder="1" applyAlignment="1">
      <alignment horizontal="center"/>
    </xf>
    <xf numFmtId="2" fontId="9" fillId="5" borderId="34" xfId="0" applyNumberFormat="1" applyFont="1" applyFill="1" applyBorder="1" applyAlignment="1">
      <alignment horizontal="center"/>
    </xf>
    <xf numFmtId="2" fontId="9" fillId="2" borderId="0" xfId="0" applyNumberFormat="1" applyFont="1" applyFill="1" applyAlignment="1">
      <alignment horizontal="center"/>
    </xf>
    <xf numFmtId="164" fontId="9" fillId="4" borderId="34" xfId="0" applyNumberFormat="1" applyFont="1" applyFill="1" applyBorder="1" applyAlignment="1">
      <alignment horizontal="center"/>
    </xf>
    <xf numFmtId="164" fontId="9" fillId="2" borderId="0" xfId="0" applyNumberFormat="1" applyFont="1" applyFill="1" applyAlignment="1">
      <alignment horizontal="center"/>
    </xf>
    <xf numFmtId="164" fontId="9" fillId="4" borderId="10" xfId="0" applyNumberFormat="1" applyFont="1" applyFill="1" applyBorder="1" applyAlignment="1">
      <alignment horizontal="center"/>
    </xf>
    <xf numFmtId="0" fontId="9" fillId="2" borderId="35" xfId="0" applyFont="1" applyFill="1" applyBorder="1" applyAlignment="1">
      <alignment horizontal="right"/>
    </xf>
    <xf numFmtId="164" fontId="11" fillId="3" borderId="34" xfId="0" applyNumberFormat="1" applyFont="1" applyFill="1" applyBorder="1" applyAlignment="1" applyProtection="1">
      <alignment horizontal="center"/>
      <protection locked="0"/>
    </xf>
    <xf numFmtId="164" fontId="9" fillId="2" borderId="0" xfId="0" applyNumberFormat="1" applyFont="1" applyFill="1"/>
    <xf numFmtId="0" fontId="9" fillId="2" borderId="22" xfId="0" applyFont="1" applyFill="1" applyBorder="1" applyAlignment="1">
      <alignment horizontal="right"/>
    </xf>
    <xf numFmtId="1" fontId="9" fillId="2" borderId="0" xfId="0" applyNumberFormat="1" applyFont="1" applyFill="1" applyAlignment="1">
      <alignment horizontal="center"/>
    </xf>
    <xf numFmtId="0" fontId="9" fillId="2" borderId="8" xfId="0" applyFont="1" applyFill="1" applyBorder="1" applyAlignment="1">
      <alignment horizontal="right"/>
    </xf>
    <xf numFmtId="2" fontId="9" fillId="4" borderId="8" xfId="0" applyNumberFormat="1" applyFont="1" applyFill="1" applyBorder="1" applyAlignment="1">
      <alignment horizontal="center"/>
    </xf>
    <xf numFmtId="171" fontId="10" fillId="5" borderId="6" xfId="0" applyNumberFormat="1" applyFont="1" applyFill="1" applyBorder="1" applyAlignment="1">
      <alignment horizontal="center"/>
    </xf>
    <xf numFmtId="171" fontId="9" fillId="2" borderId="0" xfId="0" applyNumberFormat="1" applyFont="1" applyFill="1" applyAlignment="1">
      <alignment horizontal="center"/>
    </xf>
    <xf numFmtId="10" fontId="9" fillId="4" borderId="34" xfId="0" applyNumberFormat="1" applyFont="1" applyFill="1" applyBorder="1" applyAlignment="1">
      <alignment horizontal="center"/>
    </xf>
    <xf numFmtId="0" fontId="9" fillId="2" borderId="36" xfId="0" applyFont="1" applyFill="1" applyBorder="1" applyAlignment="1">
      <alignment horizontal="right"/>
    </xf>
    <xf numFmtId="0" fontId="9" fillId="5" borderId="8" xfId="0" applyFont="1" applyFill="1" applyBorder="1" applyAlignment="1">
      <alignment horizontal="center"/>
    </xf>
    <xf numFmtId="0" fontId="13" fillId="2" borderId="0" xfId="0" applyFont="1" applyFill="1"/>
    <xf numFmtId="0" fontId="10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172" fontId="11" fillId="3" borderId="0" xfId="0" applyNumberFormat="1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horizontal="center"/>
    </xf>
    <xf numFmtId="2" fontId="10" fillId="2" borderId="6" xfId="0" applyNumberFormat="1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11" fillId="3" borderId="14" xfId="0" applyFont="1" applyFill="1" applyBorder="1" applyAlignment="1" applyProtection="1">
      <alignment horizontal="center"/>
      <protection locked="0"/>
    </xf>
    <xf numFmtId="10" fontId="9" fillId="2" borderId="6" xfId="0" applyNumberFormat="1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/>
    </xf>
    <xf numFmtId="10" fontId="9" fillId="2" borderId="7" xfId="0" applyNumberFormat="1" applyFont="1" applyFill="1" applyBorder="1" applyAlignment="1">
      <alignment horizontal="center" vertical="center"/>
    </xf>
    <xf numFmtId="1" fontId="11" fillId="3" borderId="16" xfId="0" applyNumberFormat="1" applyFont="1" applyFill="1" applyBorder="1" applyAlignment="1" applyProtection="1">
      <alignment horizontal="center"/>
      <protection locked="0"/>
    </xf>
    <xf numFmtId="0" fontId="9" fillId="2" borderId="8" xfId="0" applyFont="1" applyFill="1" applyBorder="1" applyAlignment="1">
      <alignment horizontal="center"/>
    </xf>
    <xf numFmtId="0" fontId="11" fillId="3" borderId="36" xfId="0" applyFont="1" applyFill="1" applyBorder="1" applyAlignment="1" applyProtection="1">
      <alignment horizontal="center"/>
      <protection locked="0"/>
    </xf>
    <xf numFmtId="10" fontId="9" fillId="2" borderId="15" xfId="0" applyNumberFormat="1" applyFont="1" applyFill="1" applyBorder="1" applyAlignment="1">
      <alignment horizontal="center" vertical="center"/>
    </xf>
    <xf numFmtId="10" fontId="9" fillId="2" borderId="17" xfId="0" applyNumberFormat="1" applyFont="1" applyFill="1" applyBorder="1" applyAlignment="1">
      <alignment horizontal="center" vertical="center"/>
    </xf>
    <xf numFmtId="10" fontId="9" fillId="2" borderId="37" xfId="0" applyNumberFormat="1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/>
    </xf>
    <xf numFmtId="2" fontId="12" fillId="2" borderId="37" xfId="0" applyNumberFormat="1" applyFont="1" applyFill="1" applyBorder="1" applyAlignment="1">
      <alignment horizontal="center"/>
    </xf>
    <xf numFmtId="10" fontId="9" fillId="2" borderId="8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38" xfId="0" applyFont="1" applyFill="1" applyBorder="1" applyAlignment="1">
      <alignment horizontal="right"/>
    </xf>
    <xf numFmtId="10" fontId="11" fillId="5" borderId="26" xfId="0" applyNumberFormat="1" applyFont="1" applyFill="1" applyBorder="1" applyAlignment="1">
      <alignment horizontal="center"/>
    </xf>
    <xf numFmtId="0" fontId="9" fillId="2" borderId="34" xfId="0" applyFont="1" applyFill="1" applyBorder="1" applyAlignment="1">
      <alignment horizontal="right"/>
    </xf>
    <xf numFmtId="2" fontId="9" fillId="2" borderId="0" xfId="0" applyNumberFormat="1" applyFont="1" applyFill="1" applyAlignment="1">
      <alignment horizontal="center"/>
    </xf>
    <xf numFmtId="0" fontId="9" fillId="2" borderId="10" xfId="0" applyFont="1" applyFill="1" applyBorder="1" applyAlignment="1">
      <alignment horizontal="right"/>
    </xf>
    <xf numFmtId="0" fontId="11" fillId="5" borderId="39" xfId="0" applyFon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0" fontId="9" fillId="2" borderId="0" xfId="0" applyFont="1" applyFill="1"/>
    <xf numFmtId="167" fontId="11" fillId="2" borderId="0" xfId="0" applyNumberFormat="1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1" fillId="3" borderId="0" xfId="0" applyFont="1" applyFill="1" applyAlignment="1" applyProtection="1">
      <alignment horizontal="center"/>
      <protection locked="0"/>
    </xf>
    <xf numFmtId="0" fontId="10" fillId="2" borderId="40" xfId="0" applyFont="1" applyFill="1" applyBorder="1" applyAlignment="1">
      <alignment horizontal="center"/>
    </xf>
    <xf numFmtId="0" fontId="10" fillId="2" borderId="33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center"/>
    </xf>
    <xf numFmtId="0" fontId="9" fillId="2" borderId="41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1" fontId="10" fillId="4" borderId="42" xfId="0" applyNumberFormat="1" applyFont="1" applyFill="1" applyBorder="1" applyAlignment="1">
      <alignment horizontal="center"/>
    </xf>
    <xf numFmtId="1" fontId="10" fillId="4" borderId="43" xfId="0" applyNumberFormat="1" applyFont="1" applyFill="1" applyBorder="1" applyAlignment="1">
      <alignment horizontal="center"/>
    </xf>
    <xf numFmtId="171" fontId="10" fillId="4" borderId="8" xfId="0" applyNumberFormat="1" applyFont="1" applyFill="1" applyBorder="1" applyAlignment="1">
      <alignment horizontal="center"/>
    </xf>
    <xf numFmtId="0" fontId="9" fillId="2" borderId="44" xfId="0" applyFont="1" applyFill="1" applyBorder="1" applyAlignment="1">
      <alignment horizontal="right"/>
    </xf>
    <xf numFmtId="0" fontId="11" fillId="3" borderId="45" xfId="0" applyFont="1" applyFill="1" applyBorder="1" applyAlignment="1" applyProtection="1">
      <alignment horizontal="center"/>
      <protection locked="0"/>
    </xf>
    <xf numFmtId="0" fontId="9" fillId="2" borderId="18" xfId="0" applyFont="1" applyFill="1" applyBorder="1" applyAlignment="1">
      <alignment horizontal="right"/>
    </xf>
    <xf numFmtId="2" fontId="9" fillId="4" borderId="20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2" fontId="9" fillId="5" borderId="20" xfId="0" applyNumberFormat="1" applyFont="1" applyFill="1" applyBorder="1" applyAlignment="1">
      <alignment horizontal="center"/>
    </xf>
    <xf numFmtId="164" fontId="9" fillId="4" borderId="20" xfId="0" applyNumberFormat="1" applyFont="1" applyFill="1" applyBorder="1" applyAlignment="1">
      <alignment horizontal="center"/>
    </xf>
    <xf numFmtId="0" fontId="1" fillId="2" borderId="0" xfId="0" applyFont="1" applyFill="1"/>
    <xf numFmtId="164" fontId="9" fillId="5" borderId="20" xfId="0" applyNumberFormat="1" applyFont="1" applyFill="1" applyBorder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9" fillId="2" borderId="46" xfId="0" applyFont="1" applyFill="1" applyBorder="1" applyAlignment="1">
      <alignment horizontal="right"/>
    </xf>
    <xf numFmtId="2" fontId="9" fillId="5" borderId="23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 wrapText="1"/>
    </xf>
    <xf numFmtId="0" fontId="9" fillId="2" borderId="9" xfId="0" applyFont="1" applyFill="1" applyBorder="1" applyAlignment="1">
      <alignment horizontal="right"/>
    </xf>
    <xf numFmtId="171" fontId="10" fillId="5" borderId="9" xfId="0" applyNumberFormat="1" applyFont="1" applyFill="1" applyBorder="1" applyAlignment="1">
      <alignment horizontal="center"/>
    </xf>
    <xf numFmtId="2" fontId="1" fillId="2" borderId="0" xfId="0" applyNumberFormat="1" applyFont="1" applyFill="1" applyAlignment="1">
      <alignment horizontal="center"/>
    </xf>
    <xf numFmtId="10" fontId="9" fillId="2" borderId="0" xfId="0" applyNumberFormat="1" applyFont="1" applyFill="1" applyAlignment="1">
      <alignment horizontal="center"/>
    </xf>
    <xf numFmtId="10" fontId="10" fillId="4" borderId="34" xfId="0" applyNumberFormat="1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/>
    </xf>
    <xf numFmtId="0" fontId="10" fillId="2" borderId="40" xfId="0" applyFont="1" applyFill="1" applyBorder="1" applyAlignment="1">
      <alignment horizontal="center"/>
    </xf>
    <xf numFmtId="0" fontId="10" fillId="2" borderId="47" xfId="0" applyFont="1" applyFill="1" applyBorder="1" applyAlignment="1">
      <alignment horizontal="center"/>
    </xf>
    <xf numFmtId="0" fontId="10" fillId="2" borderId="48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 wrapText="1"/>
    </xf>
    <xf numFmtId="0" fontId="9" fillId="2" borderId="16" xfId="0" applyFont="1" applyFill="1" applyBorder="1" applyAlignment="1">
      <alignment horizontal="center"/>
    </xf>
    <xf numFmtId="1" fontId="11" fillId="3" borderId="24" xfId="0" applyNumberFormat="1" applyFont="1" applyFill="1" applyBorder="1" applyAlignment="1" applyProtection="1">
      <alignment horizontal="center"/>
      <protection locked="0"/>
    </xf>
    <xf numFmtId="10" fontId="9" fillId="2" borderId="23" xfId="0" applyNumberFormat="1" applyFont="1" applyFill="1" applyBorder="1" applyAlignment="1">
      <alignment horizontal="center"/>
    </xf>
    <xf numFmtId="10" fontId="9" fillId="2" borderId="25" xfId="0" applyNumberFormat="1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1" fontId="11" fillId="3" borderId="28" xfId="0" applyNumberFormat="1" applyFont="1" applyFill="1" applyBorder="1" applyAlignment="1" applyProtection="1">
      <alignment horizontal="center"/>
      <protection locked="0"/>
    </xf>
    <xf numFmtId="10" fontId="9" fillId="2" borderId="29" xfId="0" applyNumberFormat="1" applyFont="1" applyFill="1" applyBorder="1" applyAlignment="1">
      <alignment horizontal="center"/>
    </xf>
    <xf numFmtId="2" fontId="9" fillId="2" borderId="17" xfId="0" applyNumberFormat="1" applyFont="1" applyFill="1" applyBorder="1" applyAlignment="1">
      <alignment horizontal="center"/>
    </xf>
    <xf numFmtId="171" fontId="10" fillId="2" borderId="0" xfId="0" applyNumberFormat="1" applyFont="1" applyFill="1" applyAlignment="1">
      <alignment horizontal="center"/>
    </xf>
    <xf numFmtId="171" fontId="9" fillId="2" borderId="49" xfId="0" applyNumberFormat="1" applyFont="1" applyFill="1" applyBorder="1" applyAlignment="1">
      <alignment horizontal="right"/>
    </xf>
    <xf numFmtId="10" fontId="11" fillId="5" borderId="20" xfId="0" applyNumberFormat="1" applyFont="1" applyFill="1" applyBorder="1" applyAlignment="1">
      <alignment horizontal="center"/>
    </xf>
    <xf numFmtId="0" fontId="9" fillId="2" borderId="16" xfId="0" applyFont="1" applyFill="1" applyBorder="1"/>
    <xf numFmtId="0" fontId="9" fillId="2" borderId="50" xfId="0" applyFont="1" applyFill="1" applyBorder="1"/>
    <xf numFmtId="0" fontId="9" fillId="2" borderId="36" xfId="0" applyFont="1" applyFill="1" applyBorder="1"/>
    <xf numFmtId="0" fontId="9" fillId="2" borderId="51" xfId="0" applyFont="1" applyFill="1" applyBorder="1" applyAlignment="1">
      <alignment horizontal="center"/>
    </xf>
    <xf numFmtId="0" fontId="9" fillId="2" borderId="52" xfId="0" applyFont="1" applyFill="1" applyBorder="1" applyAlignment="1">
      <alignment horizontal="right"/>
    </xf>
    <xf numFmtId="0" fontId="11" fillId="5" borderId="10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/>
    <xf numFmtId="0" fontId="9" fillId="2" borderId="2" xfId="0" applyFont="1" applyFill="1" applyBorder="1" applyAlignment="1">
      <alignment horizontal="center"/>
    </xf>
    <xf numFmtId="0" fontId="10" fillId="2" borderId="0" xfId="0" applyFont="1" applyFill="1" applyAlignment="1">
      <alignment horizontal="right"/>
    </xf>
    <xf numFmtId="0" fontId="9" fillId="2" borderId="3" xfId="0" applyFont="1" applyFill="1" applyBorder="1"/>
    <xf numFmtId="0" fontId="9" fillId="2" borderId="3" xfId="0" applyFont="1" applyFill="1" applyBorder="1"/>
    <xf numFmtId="0" fontId="10" fillId="2" borderId="4" xfId="0" applyFont="1" applyFill="1" applyBorder="1"/>
    <xf numFmtId="0" fontId="9" fillId="2" borderId="4" xfId="0" applyFont="1" applyFill="1" applyBorder="1"/>
    <xf numFmtId="0" fontId="18" fillId="2" borderId="0" xfId="0" applyFont="1" applyFill="1" applyAlignment="1">
      <alignment horizontal="right" vertical="center" wrapText="1"/>
    </xf>
    <xf numFmtId="0" fontId="11" fillId="2" borderId="0" xfId="0" applyFont="1" applyFill="1" applyAlignment="1" applyProtection="1">
      <alignment horizontal="right"/>
      <protection locked="0"/>
    </xf>
    <xf numFmtId="164" fontId="10" fillId="2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Protection="1">
      <protection locked="0"/>
    </xf>
    <xf numFmtId="164" fontId="9" fillId="2" borderId="14" xfId="0" applyNumberFormat="1" applyFont="1" applyFill="1" applyBorder="1" applyAlignment="1">
      <alignment horizontal="center"/>
    </xf>
    <xf numFmtId="164" fontId="9" fillId="2" borderId="16" xfId="0" applyNumberFormat="1" applyFont="1" applyFill="1" applyBorder="1" applyAlignment="1">
      <alignment horizontal="center"/>
    </xf>
    <xf numFmtId="164" fontId="9" fillId="2" borderId="6" xfId="0" applyNumberFormat="1" applyFont="1" applyFill="1" applyBorder="1" applyAlignment="1">
      <alignment horizontal="center"/>
    </xf>
    <xf numFmtId="164" fontId="9" fillId="2" borderId="7" xfId="0" applyNumberFormat="1" applyFont="1" applyFill="1" applyBorder="1" applyAlignment="1">
      <alignment horizontal="center"/>
    </xf>
    <xf numFmtId="164" fontId="9" fillId="2" borderId="8" xfId="0" applyNumberFormat="1" applyFont="1" applyFill="1" applyBorder="1" applyAlignment="1">
      <alignment horizontal="center"/>
    </xf>
    <xf numFmtId="10" fontId="11" fillId="4" borderId="53" xfId="0" applyNumberFormat="1" applyFont="1" applyFill="1" applyBorder="1" applyAlignment="1">
      <alignment horizontal="center"/>
    </xf>
    <xf numFmtId="164" fontId="9" fillId="2" borderId="19" xfId="0" applyNumberFormat="1" applyFont="1" applyFill="1" applyBorder="1" applyAlignment="1">
      <alignment horizontal="center"/>
    </xf>
    <xf numFmtId="164" fontId="9" fillId="2" borderId="24" xfId="0" applyNumberFormat="1" applyFont="1" applyFill="1" applyBorder="1" applyAlignment="1">
      <alignment horizontal="center"/>
    </xf>
    <xf numFmtId="164" fontId="9" fillId="2" borderId="28" xfId="0" applyNumberFormat="1" applyFont="1" applyFill="1" applyBorder="1" applyAlignment="1">
      <alignment horizontal="center"/>
    </xf>
    <xf numFmtId="0" fontId="12" fillId="3" borderId="0" xfId="0" applyFont="1" applyFill="1" applyAlignment="1" applyProtection="1">
      <alignment horizontal="left"/>
      <protection locked="0"/>
    </xf>
    <xf numFmtId="0" fontId="11" fillId="3" borderId="22" xfId="1" applyFont="1" applyFill="1" applyBorder="1" applyAlignment="1" applyProtection="1">
      <alignment horizontal="center"/>
      <protection locked="0"/>
    </xf>
    <xf numFmtId="0" fontId="11" fillId="3" borderId="16" xfId="1" applyFont="1" applyFill="1" applyBorder="1" applyAlignment="1" applyProtection="1">
      <alignment horizontal="center"/>
      <protection locked="0"/>
    </xf>
    <xf numFmtId="0" fontId="11" fillId="3" borderId="27" xfId="1" applyFont="1" applyFill="1" applyBorder="1" applyAlignment="1" applyProtection="1">
      <alignment horizontal="center"/>
      <protection locked="0"/>
    </xf>
    <xf numFmtId="0" fontId="11" fillId="3" borderId="9" xfId="1" applyFont="1" applyFill="1" applyBorder="1" applyAlignment="1" applyProtection="1">
      <alignment horizontal="center"/>
      <protection locked="0"/>
    </xf>
    <xf numFmtId="171" fontId="11" fillId="3" borderId="27" xfId="1" applyNumberFormat="1" applyFont="1" applyFill="1" applyBorder="1" applyAlignment="1" applyProtection="1">
      <alignment horizontal="center"/>
      <protection locked="0"/>
    </xf>
    <xf numFmtId="171" fontId="11" fillId="3" borderId="24" xfId="0" applyNumberFormat="1" applyFont="1" applyFill="1" applyBorder="1" applyAlignment="1" applyProtection="1">
      <alignment horizontal="center"/>
      <protection locked="0"/>
    </xf>
    <xf numFmtId="171" fontId="11" fillId="3" borderId="28" xfId="0" applyNumberFormat="1" applyFont="1" applyFill="1" applyBorder="1" applyAlignment="1" applyProtection="1">
      <alignment horizontal="center"/>
      <protection locked="0"/>
    </xf>
    <xf numFmtId="0" fontId="12" fillId="3" borderId="0" xfId="1" applyFont="1" applyFill="1" applyAlignment="1" applyProtection="1">
      <alignment horizontal="left"/>
      <protection locked="0"/>
    </xf>
    <xf numFmtId="0" fontId="6" fillId="2" borderId="0" xfId="0" applyFont="1" applyFill="1" applyAlignment="1">
      <alignment horizontal="right"/>
    </xf>
    <xf numFmtId="0" fontId="4" fillId="2" borderId="0" xfId="2" applyFont="1" applyFill="1"/>
    <xf numFmtId="0" fontId="1" fillId="2" borderId="0" xfId="2" applyFont="1" applyFill="1"/>
    <xf numFmtId="0" fontId="1" fillId="2" borderId="0" xfId="2" applyFont="1" applyFill="1" applyAlignment="1">
      <alignment horizontal="right"/>
    </xf>
    <xf numFmtId="0" fontId="5" fillId="2" borderId="0" xfId="2" applyFont="1" applyFill="1"/>
    <xf numFmtId="0" fontId="5" fillId="2" borderId="0" xfId="2" applyFont="1" applyFill="1" applyAlignment="1">
      <alignment horizontal="left"/>
    </xf>
    <xf numFmtId="0" fontId="6" fillId="2" borderId="0" xfId="2" applyFont="1" applyFill="1" applyAlignment="1">
      <alignment horizontal="left"/>
    </xf>
    <xf numFmtId="0" fontId="2" fillId="2" borderId="0" xfId="1" applyFont="1" applyFill="1"/>
    <xf numFmtId="0" fontId="23" fillId="2" borderId="0" xfId="1" applyFill="1"/>
    <xf numFmtId="0" fontId="6" fillId="2" borderId="0" xfId="2" applyFont="1" applyFill="1" applyAlignment="1">
      <alignment horizontal="center"/>
    </xf>
    <xf numFmtId="0" fontId="2" fillId="2" borderId="0" xfId="2" applyFont="1" applyFill="1"/>
    <xf numFmtId="0" fontId="23" fillId="2" borderId="0" xfId="2" applyFill="1"/>
    <xf numFmtId="0" fontId="6" fillId="2" borderId="0" xfId="2" applyFont="1" applyFill="1"/>
    <xf numFmtId="2" fontId="6" fillId="2" borderId="0" xfId="2" applyNumberFormat="1" applyFont="1" applyFill="1" applyAlignment="1">
      <alignment horizontal="center"/>
    </xf>
    <xf numFmtId="0" fontId="24" fillId="6" borderId="9" xfId="1" applyFont="1" applyFill="1" applyBorder="1" applyAlignment="1" applyProtection="1">
      <alignment horizontal="center"/>
      <protection locked="0"/>
    </xf>
    <xf numFmtId="165" fontId="6" fillId="2" borderId="0" xfId="2" applyNumberFormat="1" applyFont="1" applyFill="1" applyAlignment="1">
      <alignment horizontal="center"/>
    </xf>
    <xf numFmtId="0" fontId="6" fillId="2" borderId="55" xfId="2" applyFont="1" applyFill="1" applyBorder="1" applyAlignment="1">
      <alignment horizontal="center"/>
    </xf>
    <xf numFmtId="0" fontId="6" fillId="2" borderId="49" xfId="2" applyFont="1" applyFill="1" applyBorder="1" applyAlignment="1">
      <alignment horizontal="center"/>
    </xf>
    <xf numFmtId="0" fontId="3" fillId="2" borderId="56" xfId="2" applyFont="1" applyFill="1" applyBorder="1"/>
    <xf numFmtId="0" fontId="2" fillId="2" borderId="57" xfId="2" applyFont="1" applyFill="1" applyBorder="1" applyAlignment="1">
      <alignment horizontal="center"/>
    </xf>
    <xf numFmtId="0" fontId="25" fillId="3" borderId="57" xfId="2" applyFont="1" applyFill="1" applyBorder="1" applyAlignment="1" applyProtection="1">
      <alignment horizontal="center"/>
      <protection locked="0"/>
    </xf>
    <xf numFmtId="2" fontId="25" fillId="3" borderId="57" xfId="2" applyNumberFormat="1" applyFont="1" applyFill="1" applyBorder="1" applyAlignment="1" applyProtection="1">
      <alignment horizontal="center"/>
      <protection locked="0"/>
    </xf>
    <xf numFmtId="2" fontId="25" fillId="3" borderId="19" xfId="2" applyNumberFormat="1" applyFont="1" applyFill="1" applyBorder="1" applyAlignment="1" applyProtection="1">
      <alignment horizontal="center"/>
      <protection locked="0"/>
    </xf>
    <xf numFmtId="0" fontId="25" fillId="7" borderId="58" xfId="2" applyFont="1" applyFill="1" applyBorder="1" applyAlignment="1">
      <alignment horizontal="center" vertical="top"/>
    </xf>
    <xf numFmtId="0" fontId="25" fillId="7" borderId="58" xfId="2" applyFont="1" applyFill="1" applyBorder="1" applyAlignment="1">
      <alignment horizontal="center"/>
    </xf>
    <xf numFmtId="0" fontId="1" fillId="7" borderId="58" xfId="2" applyFont="1" applyFill="1" applyBorder="1" applyAlignment="1">
      <alignment horizontal="center"/>
    </xf>
    <xf numFmtId="0" fontId="1" fillId="7" borderId="59" xfId="2" applyFont="1" applyFill="1" applyBorder="1" applyAlignment="1">
      <alignment horizontal="center"/>
    </xf>
    <xf numFmtId="0" fontId="26" fillId="7" borderId="58" xfId="2" applyFont="1" applyFill="1" applyBorder="1" applyAlignment="1">
      <alignment horizontal="center"/>
    </xf>
    <xf numFmtId="2" fontId="25" fillId="3" borderId="24" xfId="2" applyNumberFormat="1" applyFont="1" applyFill="1" applyBorder="1" applyAlignment="1" applyProtection="1">
      <alignment horizontal="center"/>
      <protection locked="0"/>
    </xf>
    <xf numFmtId="0" fontId="25" fillId="3" borderId="60" xfId="2" applyFont="1" applyFill="1" applyBorder="1" applyAlignment="1" applyProtection="1">
      <alignment horizontal="center"/>
      <protection locked="0"/>
    </xf>
    <xf numFmtId="2" fontId="25" fillId="3" borderId="60" xfId="2" applyNumberFormat="1" applyFont="1" applyFill="1" applyBorder="1" applyAlignment="1" applyProtection="1">
      <alignment horizontal="center"/>
      <protection locked="0"/>
    </xf>
    <xf numFmtId="2" fontId="25" fillId="3" borderId="28" xfId="2" applyNumberFormat="1" applyFont="1" applyFill="1" applyBorder="1" applyAlignment="1" applyProtection="1">
      <alignment horizontal="center"/>
      <protection locked="0"/>
    </xf>
    <xf numFmtId="0" fontId="2" fillId="2" borderId="61" xfId="2" applyFont="1" applyFill="1" applyBorder="1"/>
    <xf numFmtId="1" fontId="6" fillId="8" borderId="49" xfId="2" applyNumberFormat="1" applyFont="1" applyFill="1" applyBorder="1" applyAlignment="1">
      <alignment horizontal="center"/>
    </xf>
    <xf numFmtId="1" fontId="6" fillId="8" borderId="55" xfId="2" applyNumberFormat="1" applyFont="1" applyFill="1" applyBorder="1" applyAlignment="1">
      <alignment horizontal="center"/>
    </xf>
    <xf numFmtId="2" fontId="6" fillId="8" borderId="55" xfId="2" applyNumberFormat="1" applyFont="1" applyFill="1" applyBorder="1" applyAlignment="1">
      <alignment horizontal="center"/>
    </xf>
    <xf numFmtId="2" fontId="6" fillId="8" borderId="49" xfId="2" applyNumberFormat="1" applyFont="1" applyFill="1" applyBorder="1" applyAlignment="1">
      <alignment horizontal="center"/>
    </xf>
    <xf numFmtId="0" fontId="25" fillId="9" borderId="62" xfId="2" applyFont="1" applyFill="1" applyBorder="1" applyAlignment="1">
      <alignment horizontal="center"/>
    </xf>
    <xf numFmtId="0" fontId="1" fillId="9" borderId="62" xfId="2" applyFont="1" applyFill="1" applyBorder="1"/>
    <xf numFmtId="0" fontId="23" fillId="9" borderId="62" xfId="2" applyFill="1" applyBorder="1"/>
    <xf numFmtId="0" fontId="2" fillId="2" borderId="57" xfId="2" applyFont="1" applyFill="1" applyBorder="1"/>
    <xf numFmtId="10" fontId="6" fillId="10" borderId="55" xfId="2" applyNumberFormat="1" applyFont="1" applyFill="1" applyBorder="1" applyAlignment="1">
      <alignment horizontal="center"/>
    </xf>
    <xf numFmtId="167" fontId="6" fillId="2" borderId="0" xfId="2" applyNumberFormat="1" applyFont="1" applyFill="1" applyAlignment="1">
      <alignment horizontal="center"/>
    </xf>
    <xf numFmtId="0" fontId="2" fillId="2" borderId="0" xfId="2" applyFont="1" applyFill="1" applyBorder="1"/>
    <xf numFmtId="2" fontId="25" fillId="9" borderId="62" xfId="2" applyNumberFormat="1" applyFont="1" applyFill="1" applyBorder="1" applyAlignment="1">
      <alignment horizontal="center"/>
    </xf>
    <xf numFmtId="0" fontId="1" fillId="2" borderId="58" xfId="2" applyFont="1" applyFill="1" applyBorder="1"/>
    <xf numFmtId="0" fontId="1" fillId="2" borderId="59" xfId="2" applyFont="1" applyFill="1" applyBorder="1"/>
    <xf numFmtId="0" fontId="23" fillId="2" borderId="58" xfId="2" applyFill="1" applyBorder="1"/>
    <xf numFmtId="0" fontId="2" fillId="2" borderId="60" xfId="2" applyFont="1" applyFill="1" applyBorder="1"/>
    <xf numFmtId="0" fontId="6" fillId="8" borderId="55" xfId="2" applyFont="1" applyFill="1" applyBorder="1" applyAlignment="1">
      <alignment horizontal="center"/>
    </xf>
    <xf numFmtId="0" fontId="6" fillId="2" borderId="3" xfId="2" applyFont="1" applyFill="1" applyBorder="1" applyAlignment="1">
      <alignment horizontal="center"/>
    </xf>
    <xf numFmtId="0" fontId="2" fillId="2" borderId="3" xfId="2" applyFont="1" applyFill="1" applyBorder="1"/>
    <xf numFmtId="0" fontId="25" fillId="9" borderId="63" xfId="2" applyFont="1" applyFill="1" applyBorder="1" applyAlignment="1">
      <alignment horizontal="center"/>
    </xf>
    <xf numFmtId="0" fontId="1" fillId="2" borderId="63" xfId="2" applyFont="1" applyFill="1" applyBorder="1"/>
    <xf numFmtId="0" fontId="1" fillId="2" borderId="64" xfId="2" applyFont="1" applyFill="1" applyBorder="1"/>
    <xf numFmtId="0" fontId="2" fillId="2" borderId="0" xfId="2" applyFont="1" applyFill="1" applyAlignment="1" applyProtection="1">
      <alignment horizontal="left"/>
      <protection locked="0"/>
    </xf>
    <xf numFmtId="0" fontId="2" fillId="2" borderId="0" xfId="2" applyFont="1" applyFill="1" applyProtection="1">
      <protection locked="0"/>
    </xf>
    <xf numFmtId="0" fontId="2" fillId="2" borderId="50" xfId="2" applyFont="1" applyFill="1" applyBorder="1"/>
    <xf numFmtId="0" fontId="2" fillId="2" borderId="65" xfId="2" applyFont="1" applyFill="1" applyBorder="1"/>
    <xf numFmtId="0" fontId="1" fillId="2" borderId="1" xfId="2" applyFont="1" applyFill="1" applyBorder="1"/>
    <xf numFmtId="0" fontId="1" fillId="2" borderId="0" xfId="2" applyFont="1" applyFill="1" applyAlignment="1">
      <alignment horizontal="center"/>
    </xf>
    <xf numFmtId="10" fontId="1" fillId="2" borderId="1" xfId="2" applyNumberFormat="1" applyFont="1" applyFill="1" applyBorder="1"/>
    <xf numFmtId="0" fontId="4" fillId="2" borderId="2" xfId="2" applyFont="1" applyFill="1" applyBorder="1" applyAlignment="1">
      <alignment horizontal="center"/>
    </xf>
    <xf numFmtId="0" fontId="1" fillId="2" borderId="2" xfId="2" applyFont="1" applyFill="1" applyBorder="1" applyAlignment="1">
      <alignment horizontal="center"/>
    </xf>
    <xf numFmtId="0" fontId="4" fillId="2" borderId="0" xfId="2" applyFont="1" applyFill="1" applyAlignment="1">
      <alignment horizontal="right"/>
    </xf>
    <xf numFmtId="0" fontId="1" fillId="2" borderId="3" xfId="2" applyFont="1" applyFill="1" applyBorder="1"/>
    <xf numFmtId="0" fontId="4" fillId="2" borderId="4" xfId="2" applyFont="1" applyFill="1" applyBorder="1"/>
    <xf numFmtId="0" fontId="1" fillId="2" borderId="4" xfId="2" applyFont="1" applyFill="1" applyBorder="1"/>
    <xf numFmtId="0" fontId="10" fillId="2" borderId="3" xfId="0" applyFont="1" applyFill="1" applyBorder="1"/>
    <xf numFmtId="0" fontId="4" fillId="2" borderId="3" xfId="2" applyFont="1" applyFill="1" applyBorder="1"/>
    <xf numFmtId="0" fontId="6" fillId="2" borderId="3" xfId="0" applyFont="1" applyFill="1" applyBorder="1"/>
    <xf numFmtId="164" fontId="6" fillId="2" borderId="6" xfId="0" applyNumberFormat="1" applyFont="1" applyFill="1" applyBorder="1" applyAlignment="1">
      <alignment horizontal="center" vertical="center"/>
    </xf>
    <xf numFmtId="164" fontId="6" fillId="2" borderId="8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8" fillId="2" borderId="11" xfId="0" applyFont="1" applyFill="1" applyBorder="1" applyAlignment="1">
      <alignment horizontal="center" wrapText="1"/>
    </xf>
    <xf numFmtId="0" fontId="8" fillId="2" borderId="12" xfId="0" applyFont="1" applyFill="1" applyBorder="1" applyAlignment="1">
      <alignment horizontal="center" wrapText="1"/>
    </xf>
    <xf numFmtId="0" fontId="8" fillId="2" borderId="13" xfId="0" applyFont="1" applyFill="1" applyBorder="1" applyAlignment="1">
      <alignment horizontal="center" wrapText="1"/>
    </xf>
    <xf numFmtId="165" fontId="4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3" fillId="2" borderId="0" xfId="2" applyFont="1" applyFill="1" applyAlignment="1">
      <alignment horizontal="center"/>
    </xf>
    <xf numFmtId="0" fontId="4" fillId="2" borderId="2" xfId="2" applyFont="1" applyFill="1" applyBorder="1" applyAlignment="1">
      <alignment horizontal="center"/>
    </xf>
    <xf numFmtId="0" fontId="19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18" fillId="2" borderId="14" xfId="0" applyFont="1" applyFill="1" applyBorder="1" applyAlignment="1">
      <alignment horizontal="left" vertical="center" wrapText="1"/>
    </xf>
    <xf numFmtId="0" fontId="18" fillId="2" borderId="15" xfId="0" applyFont="1" applyFill="1" applyBorder="1" applyAlignment="1">
      <alignment horizontal="left" vertical="center" wrapText="1"/>
    </xf>
    <xf numFmtId="0" fontId="18" fillId="2" borderId="36" xfId="0" applyFont="1" applyFill="1" applyBorder="1" applyAlignment="1">
      <alignment horizontal="left" vertical="center" wrapText="1"/>
    </xf>
    <xf numFmtId="0" fontId="18" fillId="2" borderId="37" xfId="0" applyFont="1" applyFill="1" applyBorder="1" applyAlignment="1">
      <alignment horizontal="left" vertical="center" wrapText="1"/>
    </xf>
    <xf numFmtId="0" fontId="10" fillId="2" borderId="0" xfId="0" applyFont="1" applyFill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8" fillId="2" borderId="11" xfId="0" applyFont="1" applyFill="1" applyBorder="1" applyAlignment="1">
      <alignment horizontal="justify" vertical="center" wrapText="1"/>
    </xf>
    <xf numFmtId="0" fontId="18" fillId="2" borderId="12" xfId="0" applyFont="1" applyFill="1" applyBorder="1" applyAlignment="1">
      <alignment horizontal="justify" vertical="center" wrapText="1"/>
    </xf>
    <xf numFmtId="0" fontId="18" fillId="2" borderId="13" xfId="0" applyFont="1" applyFill="1" applyBorder="1" applyAlignment="1">
      <alignment horizontal="justify" vertical="center" wrapText="1"/>
    </xf>
    <xf numFmtId="0" fontId="18" fillId="2" borderId="11" xfId="0" applyFont="1" applyFill="1" applyBorder="1" applyAlignment="1">
      <alignment horizontal="left" vertical="center" wrapText="1"/>
    </xf>
    <xf numFmtId="0" fontId="18" fillId="2" borderId="12" xfId="0" applyFont="1" applyFill="1" applyBorder="1" applyAlignment="1">
      <alignment horizontal="left" vertical="center" wrapText="1"/>
    </xf>
    <xf numFmtId="0" fontId="18" fillId="2" borderId="13" xfId="0" applyFont="1" applyFill="1" applyBorder="1" applyAlignment="1">
      <alignment horizontal="left" vertical="center" wrapText="1"/>
    </xf>
    <xf numFmtId="0" fontId="10" fillId="2" borderId="40" xfId="0" applyFont="1" applyFill="1" applyBorder="1" applyAlignment="1">
      <alignment horizontal="center"/>
    </xf>
    <xf numFmtId="0" fontId="10" fillId="2" borderId="54" xfId="0" applyFont="1" applyFill="1" applyBorder="1" applyAlignment="1">
      <alignment horizontal="center"/>
    </xf>
    <xf numFmtId="10" fontId="14" fillId="2" borderId="7" xfId="0" applyNumberFormat="1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2" borderId="36" xfId="0" applyFont="1" applyFill="1" applyBorder="1" applyAlignment="1">
      <alignment horizontal="center" vertical="center"/>
    </xf>
    <xf numFmtId="2" fontId="11" fillId="3" borderId="6" xfId="0" applyNumberFormat="1" applyFont="1" applyFill="1" applyBorder="1" applyAlignment="1" applyProtection="1">
      <alignment horizontal="center" vertical="center"/>
      <protection locked="0"/>
    </xf>
    <xf numFmtId="2" fontId="11" fillId="3" borderId="7" xfId="0" applyNumberFormat="1" applyFont="1" applyFill="1" applyBorder="1" applyAlignment="1" applyProtection="1">
      <alignment horizontal="center" vertical="center"/>
      <protection locked="0"/>
    </xf>
    <xf numFmtId="2" fontId="11" fillId="3" borderId="8" xfId="0" applyNumberFormat="1" applyFont="1" applyFill="1" applyBorder="1" applyAlignment="1" applyProtection="1">
      <alignment horizontal="center" vertical="center"/>
      <protection locked="0"/>
    </xf>
    <xf numFmtId="0" fontId="18" fillId="2" borderId="14" xfId="0" applyFont="1" applyFill="1" applyBorder="1" applyAlignment="1">
      <alignment horizontal="center" vertical="center" wrapText="1"/>
    </xf>
    <xf numFmtId="0" fontId="18" fillId="2" borderId="15" xfId="0" applyFont="1" applyFill="1" applyBorder="1" applyAlignment="1">
      <alignment horizontal="center" vertical="center" wrapText="1"/>
    </xf>
    <xf numFmtId="0" fontId="18" fillId="2" borderId="36" xfId="0" applyFont="1" applyFill="1" applyBorder="1" applyAlignment="1">
      <alignment horizontal="center" vertical="center" wrapText="1"/>
    </xf>
    <xf numFmtId="0" fontId="18" fillId="2" borderId="37" xfId="0" applyFont="1" applyFill="1" applyBorder="1" applyAlignment="1">
      <alignment horizontal="center" vertical="center" wrapText="1"/>
    </xf>
    <xf numFmtId="0" fontId="11" fillId="3" borderId="0" xfId="0" applyFont="1" applyFill="1" applyAlignment="1" applyProtection="1">
      <alignment horizontal="left"/>
      <protection locked="0"/>
    </xf>
    <xf numFmtId="0" fontId="10" fillId="2" borderId="1" xfId="0" applyFont="1" applyFill="1" applyBorder="1" applyAlignment="1">
      <alignment horizontal="center" vertical="center"/>
    </xf>
    <xf numFmtId="0" fontId="12" fillId="3" borderId="0" xfId="0" applyFont="1" applyFill="1" applyAlignment="1" applyProtection="1">
      <alignment horizontal="left"/>
      <protection locked="0"/>
    </xf>
    <xf numFmtId="0" fontId="10" fillId="2" borderId="33" xfId="0" applyFont="1" applyFill="1" applyBorder="1" applyAlignment="1">
      <alignment horizontal="center"/>
    </xf>
    <xf numFmtId="0" fontId="11" fillId="3" borderId="0" xfId="0" applyFont="1" applyFill="1" applyAlignment="1" applyProtection="1">
      <alignment horizontal="left" wrapText="1"/>
      <protection locked="0"/>
    </xf>
    <xf numFmtId="0" fontId="18" fillId="2" borderId="11" xfId="0" applyFont="1" applyFill="1" applyBorder="1" applyAlignment="1">
      <alignment horizontal="center"/>
    </xf>
    <xf numFmtId="0" fontId="18" fillId="2" borderId="12" xfId="0" applyFont="1" applyFill="1" applyBorder="1" applyAlignment="1">
      <alignment horizontal="center"/>
    </xf>
    <xf numFmtId="0" fontId="18" fillId="2" borderId="13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center" vertical="center"/>
    </xf>
    <xf numFmtId="0" fontId="12" fillId="3" borderId="0" xfId="0" applyFont="1" applyFill="1" applyAlignment="1" applyProtection="1">
      <alignment horizontal="left" wrapText="1"/>
      <protection locked="0"/>
    </xf>
    <xf numFmtId="0" fontId="11" fillId="3" borderId="0" xfId="1" applyFont="1" applyFill="1" applyAlignment="1" applyProtection="1">
      <alignment horizontal="left" wrapText="1"/>
      <protection locked="0"/>
    </xf>
    <xf numFmtId="173" fontId="11" fillId="4" borderId="20" xfId="0" applyNumberFormat="1" applyFont="1" applyFill="1" applyBorder="1" applyAlignment="1">
      <alignment horizontal="center"/>
    </xf>
    <xf numFmtId="167" fontId="11" fillId="4" borderId="20" xfId="0" applyNumberFormat="1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37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92D05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92D050"/>
        </patternFill>
      </fill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S55"/>
  <sheetViews>
    <sheetView view="pageBreakPreview" topLeftCell="A35" workbookViewId="0">
      <selection activeCell="A11" sqref="A11:J55"/>
    </sheetView>
  </sheetViews>
  <sheetFormatPr defaultRowHeight="12.75" x14ac:dyDescent="0.2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  <col min="10" max="10" width="9.140625" customWidth="1"/>
    <col min="11" max="11" width="0.28515625" customWidth="1"/>
    <col min="12" max="19" width="9.140625" hidden="1" customWidth="1"/>
  </cols>
  <sheetData>
    <row r="10" spans="1:7" ht="13.5" customHeight="1" x14ac:dyDescent="0.2"/>
    <row r="11" spans="1:7" ht="13.5" customHeight="1" x14ac:dyDescent="0.25">
      <c r="A11" s="488" t="s">
        <v>0</v>
      </c>
      <c r="B11" s="489"/>
      <c r="C11" s="489"/>
      <c r="D11" s="489"/>
      <c r="E11" s="489"/>
      <c r="F11" s="490"/>
      <c r="G11" s="41"/>
    </row>
    <row r="12" spans="1:7" ht="16.5" customHeight="1" x14ac:dyDescent="0.3">
      <c r="A12" s="487" t="s">
        <v>1</v>
      </c>
      <c r="B12" s="487"/>
      <c r="C12" s="487"/>
      <c r="D12" s="487"/>
      <c r="E12" s="487"/>
      <c r="F12" s="487"/>
      <c r="G12" s="40"/>
    </row>
    <row r="14" spans="1:7" ht="16.5" customHeight="1" x14ac:dyDescent="0.3">
      <c r="A14" s="492" t="s">
        <v>2</v>
      </c>
      <c r="B14" s="492"/>
      <c r="C14" s="10" t="s">
        <v>3</v>
      </c>
    </row>
    <row r="15" spans="1:7" ht="16.5" customHeight="1" x14ac:dyDescent="0.3">
      <c r="A15" s="492" t="s">
        <v>4</v>
      </c>
      <c r="B15" s="492"/>
      <c r="C15" s="10" t="s">
        <v>5</v>
      </c>
    </row>
    <row r="16" spans="1:7" ht="16.5" customHeight="1" x14ac:dyDescent="0.3">
      <c r="A16" s="492" t="s">
        <v>6</v>
      </c>
      <c r="B16" s="492"/>
      <c r="C16" s="10" t="s">
        <v>7</v>
      </c>
    </row>
    <row r="17" spans="1:5" s="1" customFormat="1" ht="16.5" customHeight="1" x14ac:dyDescent="0.3">
      <c r="A17" s="414"/>
      <c r="B17" s="414"/>
      <c r="C17" s="22" t="s">
        <v>137</v>
      </c>
    </row>
    <row r="18" spans="1:5" ht="16.5" customHeight="1" x14ac:dyDescent="0.3">
      <c r="A18" s="492" t="s">
        <v>8</v>
      </c>
      <c r="B18" s="492"/>
      <c r="C18" s="10" t="s">
        <v>136</v>
      </c>
    </row>
    <row r="19" spans="1:5" ht="16.5" customHeight="1" x14ac:dyDescent="0.3">
      <c r="A19" s="492" t="s">
        <v>9</v>
      </c>
      <c r="B19" s="492"/>
      <c r="C19" s="47" t="s">
        <v>10</v>
      </c>
    </row>
    <row r="20" spans="1:5" ht="16.5" customHeight="1" x14ac:dyDescent="0.3">
      <c r="A20" s="492" t="s">
        <v>11</v>
      </c>
      <c r="B20" s="492"/>
      <c r="C20" s="47" t="e">
        <f>#REF!</f>
        <v>#REF!</v>
      </c>
    </row>
    <row r="21" spans="1:5" ht="16.5" customHeight="1" x14ac:dyDescent="0.3">
      <c r="A21" s="12"/>
      <c r="B21" s="12"/>
      <c r="C21" s="27"/>
    </row>
    <row r="22" spans="1:5" ht="16.5" customHeight="1" x14ac:dyDescent="0.3">
      <c r="A22" s="487" t="s">
        <v>12</v>
      </c>
      <c r="B22" s="487"/>
      <c r="C22" s="9" t="s">
        <v>13</v>
      </c>
      <c r="D22" s="16"/>
    </row>
    <row r="23" spans="1:5" ht="15.75" customHeight="1" x14ac:dyDescent="0.3">
      <c r="A23" s="491"/>
      <c r="B23" s="491"/>
      <c r="C23" s="7"/>
      <c r="D23" s="491"/>
      <c r="E23" s="491"/>
    </row>
    <row r="24" spans="1:5" ht="33.75" customHeight="1" x14ac:dyDescent="0.3">
      <c r="C24" s="36" t="s">
        <v>14</v>
      </c>
      <c r="D24" s="35" t="s">
        <v>15</v>
      </c>
      <c r="E24" s="2"/>
    </row>
    <row r="25" spans="1:5" ht="15.75" customHeight="1" x14ac:dyDescent="0.25">
      <c r="C25" s="45">
        <v>1303.1600000000001</v>
      </c>
      <c r="D25" s="37">
        <f t="shared" ref="D25:D44" si="0">(C25-$C$47)/$C$47</f>
        <v>-1.9142103843813128E-4</v>
      </c>
      <c r="E25" s="3"/>
    </row>
    <row r="26" spans="1:5" ht="15.75" customHeight="1" x14ac:dyDescent="0.25">
      <c r="C26" s="45">
        <v>1319.94</v>
      </c>
      <c r="D26" s="38">
        <f t="shared" si="0"/>
        <v>1.2682506917434501E-2</v>
      </c>
      <c r="E26" s="3"/>
    </row>
    <row r="27" spans="1:5" ht="15.75" customHeight="1" x14ac:dyDescent="0.25">
      <c r="C27" s="45">
        <v>1289.3399999999999</v>
      </c>
      <c r="D27" s="38">
        <f t="shared" si="0"/>
        <v>-1.0794381965146246E-2</v>
      </c>
      <c r="E27" s="3"/>
    </row>
    <row r="28" spans="1:5" ht="15.75" customHeight="1" x14ac:dyDescent="0.25">
      <c r="C28" s="45">
        <v>1341.39</v>
      </c>
      <c r="D28" s="38">
        <f t="shared" si="0"/>
        <v>2.9139345692969006E-2</v>
      </c>
      <c r="E28" s="3"/>
    </row>
    <row r="29" spans="1:5" ht="15.75" customHeight="1" x14ac:dyDescent="0.25">
      <c r="C29" s="45">
        <v>1295.23</v>
      </c>
      <c r="D29" s="38">
        <f t="shared" si="0"/>
        <v>-6.2754644645448632E-3</v>
      </c>
      <c r="E29" s="3"/>
    </row>
    <row r="30" spans="1:5" ht="15.75" customHeight="1" x14ac:dyDescent="0.25">
      <c r="C30" s="45">
        <v>1298.08</v>
      </c>
      <c r="D30" s="38">
        <f t="shared" si="0"/>
        <v>-4.0888914803830102E-3</v>
      </c>
      <c r="E30" s="3"/>
    </row>
    <row r="31" spans="1:5" ht="15.75" customHeight="1" x14ac:dyDescent="0.25">
      <c r="C31" s="45">
        <v>1292.58</v>
      </c>
      <c r="D31" s="38">
        <f t="shared" si="0"/>
        <v>-8.3085937305200537E-3</v>
      </c>
      <c r="E31" s="3"/>
    </row>
    <row r="32" spans="1:5" ht="15.75" customHeight="1" x14ac:dyDescent="0.25">
      <c r="C32" s="45">
        <v>1305.08</v>
      </c>
      <c r="D32" s="38">
        <f t="shared" si="0"/>
        <v>1.2816386561550453E-3</v>
      </c>
      <c r="E32" s="3"/>
    </row>
    <row r="33" spans="1:5" ht="15.75" customHeight="1" x14ac:dyDescent="0.25">
      <c r="C33" s="45">
        <v>1296.8499999999999</v>
      </c>
      <c r="D33" s="38">
        <f t="shared" si="0"/>
        <v>-5.0325703472318545E-3</v>
      </c>
      <c r="E33" s="3"/>
    </row>
    <row r="34" spans="1:5" ht="15.75" customHeight="1" x14ac:dyDescent="0.25">
      <c r="C34" s="45">
        <v>1302.19</v>
      </c>
      <c r="D34" s="38">
        <f t="shared" si="0"/>
        <v>-9.3562307164413996E-4</v>
      </c>
      <c r="E34" s="3"/>
    </row>
    <row r="35" spans="1:5" ht="15.75" customHeight="1" x14ac:dyDescent="0.25">
      <c r="C35" s="45">
        <v>1311.73</v>
      </c>
      <c r="D35" s="38">
        <f t="shared" si="0"/>
        <v>6.3836422858662683E-3</v>
      </c>
      <c r="E35" s="3"/>
    </row>
    <row r="36" spans="1:5" ht="15.75" customHeight="1" x14ac:dyDescent="0.25">
      <c r="C36" s="45">
        <v>1313.8</v>
      </c>
      <c r="D36" s="38">
        <f t="shared" si="0"/>
        <v>7.9717847690996164E-3</v>
      </c>
      <c r="E36" s="3"/>
    </row>
    <row r="37" spans="1:5" ht="15.75" customHeight="1" x14ac:dyDescent="0.25">
      <c r="C37" s="45">
        <v>1301.18</v>
      </c>
      <c r="D37" s="38">
        <f t="shared" si="0"/>
        <v>-1.7105138484874809E-3</v>
      </c>
      <c r="E37" s="3"/>
    </row>
    <row r="38" spans="1:5" ht="15.75" customHeight="1" x14ac:dyDescent="0.25">
      <c r="C38" s="45">
        <v>1289.78</v>
      </c>
      <c r="D38" s="38">
        <f t="shared" si="0"/>
        <v>-1.0456805785135241E-2</v>
      </c>
      <c r="E38" s="3"/>
    </row>
    <row r="39" spans="1:5" ht="15.75" customHeight="1" x14ac:dyDescent="0.25">
      <c r="C39" s="45">
        <v>1303.8699999999999</v>
      </c>
      <c r="D39" s="38">
        <f t="shared" si="0"/>
        <v>3.5330416112486782E-4</v>
      </c>
      <c r="E39" s="3"/>
    </row>
    <row r="40" spans="1:5" ht="15.75" customHeight="1" x14ac:dyDescent="0.25">
      <c r="C40" s="45">
        <v>1280.49</v>
      </c>
      <c r="D40" s="38">
        <f t="shared" si="0"/>
        <v>-1.7584266494912147E-2</v>
      </c>
      <c r="E40" s="3"/>
    </row>
    <row r="41" spans="1:5" ht="15.75" customHeight="1" x14ac:dyDescent="0.25">
      <c r="C41" s="45">
        <v>1304.6300000000001</v>
      </c>
      <c r="D41" s="38">
        <f t="shared" si="0"/>
        <v>9.3639029023488132E-4</v>
      </c>
      <c r="E41" s="3"/>
    </row>
    <row r="42" spans="1:5" ht="15.75" customHeight="1" x14ac:dyDescent="0.25">
      <c r="C42" s="45">
        <v>1318.22</v>
      </c>
      <c r="D42" s="38">
        <f t="shared" si="0"/>
        <v>1.1362890941027987E-2</v>
      </c>
      <c r="E42" s="3"/>
    </row>
    <row r="43" spans="1:5" ht="15.75" customHeight="1" x14ac:dyDescent="0.25">
      <c r="C43" s="45">
        <v>1278</v>
      </c>
      <c r="D43" s="38">
        <f t="shared" si="0"/>
        <v>-1.9494640786337836E-2</v>
      </c>
      <c r="E43" s="3"/>
    </row>
    <row r="44" spans="1:5" ht="16.5" customHeight="1" x14ac:dyDescent="0.25">
      <c r="C44" s="46">
        <v>1322.65</v>
      </c>
      <c r="D44" s="39">
        <f t="shared" si="0"/>
        <v>1.4761669298865691E-2</v>
      </c>
      <c r="E44" s="3"/>
    </row>
    <row r="45" spans="1:5" ht="16.5" customHeight="1" x14ac:dyDescent="0.25">
      <c r="C45" s="4"/>
      <c r="D45" s="3"/>
      <c r="E45" s="5"/>
    </row>
    <row r="46" spans="1:5" ht="16.5" customHeight="1" x14ac:dyDescent="0.25">
      <c r="B46" s="32" t="s">
        <v>16</v>
      </c>
      <c r="C46" s="33">
        <f>SUM(C25:C45)</f>
        <v>26068.190000000002</v>
      </c>
      <c r="D46" s="28"/>
      <c r="E46" s="4"/>
    </row>
    <row r="47" spans="1:5" ht="17.25" customHeight="1" x14ac:dyDescent="0.2">
      <c r="B47" s="32" t="s">
        <v>17</v>
      </c>
      <c r="C47" s="34">
        <f>AVERAGE(C25:C45)</f>
        <v>1303.4095000000002</v>
      </c>
      <c r="E47" s="6"/>
    </row>
    <row r="48" spans="1:5" ht="17.25" customHeight="1" x14ac:dyDescent="0.3">
      <c r="A48" s="10"/>
      <c r="B48" s="29"/>
      <c r="D48" s="8"/>
      <c r="E48" s="6"/>
    </row>
    <row r="49" spans="1:7" ht="33.75" customHeight="1" x14ac:dyDescent="0.3">
      <c r="B49" s="42" t="s">
        <v>17</v>
      </c>
      <c r="C49" s="35" t="s">
        <v>18</v>
      </c>
      <c r="D49" s="30"/>
      <c r="G49" s="8"/>
    </row>
    <row r="50" spans="1:7" ht="17.25" customHeight="1" x14ac:dyDescent="0.3">
      <c r="B50" s="485">
        <f>C47</f>
        <v>1303.4095000000002</v>
      </c>
      <c r="C50" s="43">
        <f>-IF(C47&lt;=80,10%,IF(C47&lt;250,7.5%,5%))</f>
        <v>-0.05</v>
      </c>
      <c r="D50" s="31">
        <f>IF(C47&lt;=80,C47*0.9,IF(C47&lt;250,C47*0.925,C47*0.95))</f>
        <v>1238.2390250000001</v>
      </c>
    </row>
    <row r="51" spans="1:7" ht="17.25" customHeight="1" x14ac:dyDescent="0.3">
      <c r="B51" s="486"/>
      <c r="C51" s="44">
        <f>IF(C47&lt;=80, 10%, IF(C47&lt;250, 7.5%, 5%))</f>
        <v>0.05</v>
      </c>
      <c r="D51" s="31">
        <f>IF(C47&lt;=80, C47*1.1, IF(C47&lt;250, C47*1.075, C47*1.05))</f>
        <v>1368.5799750000003</v>
      </c>
    </row>
    <row r="52" spans="1:7" ht="16.5" customHeight="1" x14ac:dyDescent="0.25">
      <c r="A52" s="13"/>
      <c r="B52" s="14"/>
      <c r="C52" s="10"/>
      <c r="D52" s="15"/>
      <c r="E52" s="10"/>
      <c r="F52" s="16"/>
    </row>
    <row r="53" spans="1:7" ht="16.5" customHeight="1" x14ac:dyDescent="0.3">
      <c r="A53" s="10"/>
      <c r="B53" s="17" t="s">
        <v>19</v>
      </c>
      <c r="C53" s="17"/>
      <c r="D53" s="18" t="s">
        <v>20</v>
      </c>
      <c r="E53" s="19"/>
      <c r="F53" s="18" t="s">
        <v>21</v>
      </c>
    </row>
    <row r="54" spans="1:7" ht="34.5" customHeight="1" x14ac:dyDescent="0.3">
      <c r="A54" s="20" t="s">
        <v>22</v>
      </c>
      <c r="B54" s="484" t="s">
        <v>135</v>
      </c>
      <c r="C54" s="22"/>
      <c r="D54" s="21"/>
      <c r="E54" s="11"/>
      <c r="F54" s="23"/>
    </row>
    <row r="55" spans="1:7" ht="34.5" customHeight="1" x14ac:dyDescent="0.3">
      <c r="A55" s="20" t="s">
        <v>23</v>
      </c>
      <c r="B55" s="24"/>
      <c r="C55" s="25"/>
      <c r="D55" s="24"/>
      <c r="E55" s="11"/>
      <c r="F55" s="26"/>
    </row>
  </sheetData>
  <sheetProtection formatCells="0" formatColumns="0" formatRows="0" insertColumns="0" insertRows="0" insertHyperlinks="0" deleteColumns="0" deleteRows="0" sort="0" autoFilter="0" pivotTables="0"/>
  <mergeCells count="12">
    <mergeCell ref="B50:B51"/>
    <mergeCell ref="A12:F12"/>
    <mergeCell ref="A11:F11"/>
    <mergeCell ref="A23:B23"/>
    <mergeCell ref="D23:E23"/>
    <mergeCell ref="A14:B14"/>
    <mergeCell ref="A15:B15"/>
    <mergeCell ref="A16:B16"/>
    <mergeCell ref="A18:B18"/>
    <mergeCell ref="A19:B19"/>
    <mergeCell ref="A20:B20"/>
    <mergeCell ref="A22:B22"/>
  </mergeCells>
  <conditionalFormatting sqref="D25">
    <cfRule type="cellIs" dxfId="36" priority="1" operator="notBetween">
      <formula>IF(C47&lt;=80,-10.5%,IF(C47&lt;250,-7.5%,-5.5%))</formula>
      <formula>IF(C47&lt;=80,10.5%, IF(C47&lt;250,7.5%, C47*5.5%))</formula>
    </cfRule>
  </conditionalFormatting>
  <conditionalFormatting sqref="D26">
    <cfRule type="cellIs" dxfId="35" priority="2" operator="notBetween">
      <formula>IF(C47&lt;=80,-10.5%,IF(C47&lt;250,-7.5%,-5.5%))</formula>
      <formula>IF(C47&lt;=80,10.5%, IF(C47&lt;250,7.5%, C47*5.5%))</formula>
    </cfRule>
  </conditionalFormatting>
  <conditionalFormatting sqref="D27">
    <cfRule type="cellIs" dxfId="34" priority="3" operator="notBetween">
      <formula>IF(C47&lt;=80,-10.5%,IF(C47&lt;250,-7.5%,-5.5%))</formula>
      <formula>IF(C47&lt;=80,10.5%, IF(C47&lt;250,7.5%, C47*5.5%))</formula>
    </cfRule>
  </conditionalFormatting>
  <conditionalFormatting sqref="D28">
    <cfRule type="cellIs" dxfId="33" priority="4" operator="notBetween">
      <formula>IF(C47&lt;=80,-10.5%,IF(C47&lt;250,-7.5%,-5.5%))</formula>
      <formula>IF(C47&lt;=80,10.5%, IF(C47&lt;250,7.5%, C47*5.5%))</formula>
    </cfRule>
  </conditionalFormatting>
  <conditionalFormatting sqref="D29">
    <cfRule type="cellIs" dxfId="32" priority="5" operator="notBetween">
      <formula>IF(C47&lt;=80,-10.5%,IF(C47&lt;250,-7.5%,-5.5%))</formula>
      <formula>IF(C47&lt;=80,10.5%, IF(C47&lt;250,7.5%, C47*5.5%))</formula>
    </cfRule>
  </conditionalFormatting>
  <conditionalFormatting sqref="D30">
    <cfRule type="cellIs" dxfId="31" priority="6" operator="notBetween">
      <formula>IF(C47&lt;=80,-10.5%,IF(C47&lt;250,-7.5%,-5.5%))</formula>
      <formula>IF(C47&lt;=80,10.5%, IF(C47&lt;250,7.5%, C47*5.5%))</formula>
    </cfRule>
  </conditionalFormatting>
  <conditionalFormatting sqref="D31">
    <cfRule type="cellIs" dxfId="30" priority="7" operator="notBetween">
      <formula>IF(C47&lt;=80,-10.5%,IF(C47&lt;250,-7.5%,-5.5%))</formula>
      <formula>IF(C47&lt;=80,10.5%, IF(C47&lt;250,7.5%, C47*5.5%))</formula>
    </cfRule>
  </conditionalFormatting>
  <conditionalFormatting sqref="D32">
    <cfRule type="cellIs" dxfId="29" priority="8" operator="notBetween">
      <formula>IF(C47&lt;=80,-10.5%,IF(C47&lt;250,-7.5%,-5.5%))</formula>
      <formula>IF(C47&lt;=80,10.5%, IF(C47&lt;250,7.5%, C47*5.5%))</formula>
    </cfRule>
  </conditionalFormatting>
  <conditionalFormatting sqref="D33">
    <cfRule type="cellIs" dxfId="28" priority="9" operator="notBetween">
      <formula>IF(C47&lt;=80,-10.5%,IF(C47&lt;250,-7.5%,-5.5%))</formula>
      <formula>IF(C47&lt;=80,10.5%, IF(C47&lt;250,7.5%, C47*5.5%))</formula>
    </cfRule>
  </conditionalFormatting>
  <conditionalFormatting sqref="D34">
    <cfRule type="cellIs" dxfId="27" priority="10" operator="notBetween">
      <formula>IF(C47&lt;=80,-10.5%,IF(C47&lt;250,-7.5%,-5.5%))</formula>
      <formula>IF(C47&lt;=80,10.5%, IF(C47&lt;250,7.5%, C47*5.5%))</formula>
    </cfRule>
  </conditionalFormatting>
  <conditionalFormatting sqref="D35">
    <cfRule type="cellIs" dxfId="26" priority="11" operator="notBetween">
      <formula>IF(C47&lt;=80,-10.5%,IF(C47&lt;250,-7.5%,-5.5%))</formula>
      <formula>IF(C47&lt;=80,10.5%, IF(C47&lt;250,7.5%, C47*5.5%))</formula>
    </cfRule>
  </conditionalFormatting>
  <conditionalFormatting sqref="D36">
    <cfRule type="cellIs" dxfId="25" priority="12" operator="notBetween">
      <formula>IF(C47&lt;=80,-10.5%,IF(C47&lt;250,-7.5%,-5.5%))</formula>
      <formula>IF(C47&lt;=80,10.5%, IF(C47&lt;250,7.5%, C47*5.5%))</formula>
    </cfRule>
  </conditionalFormatting>
  <conditionalFormatting sqref="D37">
    <cfRule type="cellIs" dxfId="24" priority="13" operator="notBetween">
      <formula>IF(C47&lt;=80,-10.5%,IF(C47&lt;250,-7.5%,-5.5%))</formula>
      <formula>IF(C47&lt;=80,10.5%, IF(C47&lt;250,7.5%, C47*5.5%))</formula>
    </cfRule>
  </conditionalFormatting>
  <conditionalFormatting sqref="D38">
    <cfRule type="cellIs" dxfId="23" priority="14" operator="notBetween">
      <formula>IF(C47&lt;=80,-10.5%,IF(C47&lt;250,-7.5%,-5.5%))</formula>
      <formula>IF(C47&lt;=80,10.5%, IF(C47&lt;250,7.5%, C47*5.5%))</formula>
    </cfRule>
  </conditionalFormatting>
  <conditionalFormatting sqref="D39">
    <cfRule type="cellIs" dxfId="22" priority="15" operator="notBetween">
      <formula>IF(C47&lt;=80,-10.5%,IF(C47&lt;250,-7.5%,-5.5%))</formula>
      <formula>IF(C47&lt;=80,10.5%, IF(C47&lt;250,7.5%, C47*5.5%))</formula>
    </cfRule>
  </conditionalFormatting>
  <conditionalFormatting sqref="D40">
    <cfRule type="cellIs" dxfId="21" priority="16" operator="notBetween">
      <formula>IF(C47&lt;=80,-10.5%,IF(C47&lt;250,-7.5%,-5.5%))</formula>
      <formula>IF(C47&lt;=80,10.5%, IF(C47&lt;250,7.5%, C47*5.5%))</formula>
    </cfRule>
  </conditionalFormatting>
  <conditionalFormatting sqref="D41">
    <cfRule type="cellIs" dxfId="20" priority="17" operator="notBetween">
      <formula>IF(C47&lt;=80,-10.5%,IF(C47&lt;250,-7.5%,-5.5%))</formula>
      <formula>IF(C47&lt;=80,10.5%, IF(C47&lt;250,7.5%, C47*5.5%))</formula>
    </cfRule>
  </conditionalFormatting>
  <conditionalFormatting sqref="D42">
    <cfRule type="cellIs" dxfId="19" priority="18" operator="notBetween">
      <formula>IF(C47&lt;=80,-10.5%,IF(C47&lt;250,-7.5%,-5.5%))</formula>
      <formula>IF(C47&lt;=80,10.5%, IF(C47&lt;250,7.5%, C47*5.5%))</formula>
    </cfRule>
  </conditionalFormatting>
  <conditionalFormatting sqref="D43">
    <cfRule type="cellIs" dxfId="18" priority="19" operator="notBetween">
      <formula>IF(C47&lt;=80,-10.5%,IF(C47&lt;250,-7.5%,-5.5%))</formula>
      <formula>IF(C47&lt;=80,10.5%, IF(C47&lt;250,7.5%, C47*5.5%))</formula>
    </cfRule>
  </conditionalFormatting>
  <conditionalFormatting sqref="D44">
    <cfRule type="cellIs" dxfId="17" priority="20" operator="notBetween">
      <formula>IF(C47&lt;=80,-10.5%,IF(C47&lt;250,-7.5%,-5.5%))</formula>
      <formula>IF(C47&lt;=80,10.5%, IF(C47&lt;250,7.5%, C47*5.5%))</formula>
    </cfRule>
  </conditionalFormatting>
  <conditionalFormatting sqref="D45">
    <cfRule type="cellIs" dxfId="16" priority="21" operator="notBetween">
      <formula>IF(C47&lt;=80,-10.5%,IF(C47&lt;250,-7.5%,-5.5%))</formula>
      <formula>IF(C47&lt;=80,10.5%, IF(C47&lt;250,7.5%, C47*5.5%))</formula>
    </cfRule>
  </conditionalFormatting>
  <pageMargins left="0.75" right="0.75" top="1" bottom="1" header="0.5" footer="0.5"/>
  <pageSetup scale="6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J66"/>
  <sheetViews>
    <sheetView view="pageBreakPreview" topLeftCell="A19" zoomScale="70" zoomScaleNormal="100" zoomScaleSheetLayoutView="70" workbookViewId="0">
      <selection activeCell="G57" sqref="G57"/>
    </sheetView>
  </sheetViews>
  <sheetFormatPr defaultRowHeight="13.5" x14ac:dyDescent="0.25"/>
  <cols>
    <col min="1" max="1" width="27.5703125" style="416" customWidth="1"/>
    <col min="2" max="2" width="20.42578125" style="416" customWidth="1"/>
    <col min="3" max="3" width="20.85546875" style="416" customWidth="1"/>
    <col min="4" max="4" width="25.85546875" style="416" customWidth="1"/>
    <col min="5" max="5" width="25.7109375" style="416" customWidth="1"/>
    <col min="6" max="6" width="23.140625" style="416" customWidth="1"/>
    <col min="7" max="7" width="24.5703125" style="416" customWidth="1"/>
    <col min="8" max="8" width="21.5703125" style="416" customWidth="1"/>
    <col min="9" max="9" width="19.7109375" style="416" customWidth="1"/>
    <col min="10" max="10" width="17" style="425" customWidth="1"/>
    <col min="11" max="16384" width="9.140625" style="425"/>
  </cols>
  <sheetData>
    <row r="14" spans="1:6" ht="15" customHeight="1" x14ac:dyDescent="0.3">
      <c r="A14" s="415"/>
      <c r="C14" s="417"/>
      <c r="F14" s="417"/>
    </row>
    <row r="15" spans="1:6" ht="18.75" customHeight="1" x14ac:dyDescent="0.3">
      <c r="A15" s="493" t="s">
        <v>113</v>
      </c>
      <c r="B15" s="493"/>
      <c r="C15" s="493"/>
      <c r="D15" s="493"/>
      <c r="E15" s="493"/>
    </row>
    <row r="16" spans="1:6" ht="16.5" customHeight="1" x14ac:dyDescent="0.3">
      <c r="A16" s="418" t="s">
        <v>12</v>
      </c>
      <c r="B16" s="419" t="s">
        <v>114</v>
      </c>
    </row>
    <row r="17" spans="1:10" ht="16.5" customHeight="1" x14ac:dyDescent="0.3">
      <c r="A17" s="420" t="s">
        <v>115</v>
      </c>
      <c r="B17" s="421" t="s">
        <v>3</v>
      </c>
      <c r="C17" s="422"/>
      <c r="D17" s="423"/>
      <c r="E17" s="424"/>
    </row>
    <row r="18" spans="1:10" ht="16.5" customHeight="1" x14ac:dyDescent="0.3">
      <c r="A18" s="426" t="s">
        <v>27</v>
      </c>
      <c r="B18" s="420" t="s">
        <v>116</v>
      </c>
      <c r="C18" s="424"/>
      <c r="D18" s="424"/>
      <c r="E18" s="424"/>
    </row>
    <row r="19" spans="1:10" ht="16.5" customHeight="1" thickBot="1" x14ac:dyDescent="0.35">
      <c r="A19" s="426" t="s">
        <v>29</v>
      </c>
      <c r="B19" s="427">
        <f>0.82125*100</f>
        <v>82.125</v>
      </c>
      <c r="C19" s="424"/>
      <c r="D19" s="424"/>
      <c r="E19" s="424"/>
    </row>
    <row r="20" spans="1:10" ht="16.5" customHeight="1" x14ac:dyDescent="0.3">
      <c r="A20" s="420" t="s">
        <v>117</v>
      </c>
      <c r="B20" s="428">
        <v>17.489999999999998</v>
      </c>
      <c r="C20" s="424"/>
      <c r="D20" s="424"/>
      <c r="E20" s="424"/>
    </row>
    <row r="21" spans="1:10" ht="16.5" customHeight="1" x14ac:dyDescent="0.3">
      <c r="A21" s="420" t="s">
        <v>118</v>
      </c>
      <c r="B21" s="429">
        <v>0.05</v>
      </c>
      <c r="C21" s="424"/>
      <c r="D21" s="424"/>
      <c r="E21" s="424"/>
    </row>
    <row r="22" spans="1:10" ht="15.75" customHeight="1" x14ac:dyDescent="0.25">
      <c r="A22" s="424"/>
      <c r="B22" s="424"/>
      <c r="C22" s="424"/>
      <c r="D22" s="424"/>
      <c r="E22" s="424"/>
    </row>
    <row r="23" spans="1:10" ht="16.5" customHeight="1" x14ac:dyDescent="0.3">
      <c r="A23" s="430" t="s">
        <v>119</v>
      </c>
      <c r="B23" s="431" t="s">
        <v>120</v>
      </c>
      <c r="C23" s="430" t="s">
        <v>121</v>
      </c>
      <c r="D23" s="430" t="s">
        <v>122</v>
      </c>
      <c r="E23" s="431" t="s">
        <v>123</v>
      </c>
      <c r="F23" s="431" t="s">
        <v>124</v>
      </c>
      <c r="G23" s="430" t="s">
        <v>121</v>
      </c>
      <c r="H23" s="430" t="s">
        <v>122</v>
      </c>
      <c r="I23" s="431" t="s">
        <v>123</v>
      </c>
      <c r="J23" s="432" t="s">
        <v>125</v>
      </c>
    </row>
    <row r="24" spans="1:10" ht="16.5" customHeight="1" x14ac:dyDescent="0.3">
      <c r="A24" s="433">
        <v>1</v>
      </c>
      <c r="B24" s="434">
        <v>10931460</v>
      </c>
      <c r="C24" s="434">
        <v>38942.800000000003</v>
      </c>
      <c r="D24" s="435">
        <v>1</v>
      </c>
      <c r="E24" s="436">
        <v>21.5</v>
      </c>
      <c r="F24" s="437">
        <v>11331068</v>
      </c>
      <c r="G24" s="438">
        <v>33732.199999999997</v>
      </c>
      <c r="H24" s="439">
        <v>22.8</v>
      </c>
      <c r="I24" s="440">
        <v>1</v>
      </c>
      <c r="J24" s="441">
        <v>2.7</v>
      </c>
    </row>
    <row r="25" spans="1:10" ht="16.5" customHeight="1" x14ac:dyDescent="0.3">
      <c r="A25" s="433">
        <v>2</v>
      </c>
      <c r="B25" s="434">
        <v>10941540</v>
      </c>
      <c r="C25" s="434">
        <v>39004.6</v>
      </c>
      <c r="D25" s="435">
        <v>1</v>
      </c>
      <c r="E25" s="442">
        <v>21.5</v>
      </c>
      <c r="F25" s="437">
        <v>11284248</v>
      </c>
      <c r="G25" s="438">
        <v>33554.199999999997</v>
      </c>
      <c r="H25" s="439">
        <v>22.8</v>
      </c>
      <c r="I25" s="440">
        <v>1</v>
      </c>
      <c r="J25" s="441">
        <v>2.7</v>
      </c>
    </row>
    <row r="26" spans="1:10" ht="16.5" customHeight="1" x14ac:dyDescent="0.3">
      <c r="A26" s="433">
        <v>3</v>
      </c>
      <c r="B26" s="434">
        <v>10966646</v>
      </c>
      <c r="C26" s="434">
        <v>38905.699999999997</v>
      </c>
      <c r="D26" s="435">
        <v>1</v>
      </c>
      <c r="E26" s="442">
        <v>21.5</v>
      </c>
      <c r="F26" s="437">
        <v>11253272</v>
      </c>
      <c r="G26" s="438">
        <v>33775.199999999997</v>
      </c>
      <c r="H26" s="439">
        <v>22.8</v>
      </c>
      <c r="I26" s="440">
        <v>1</v>
      </c>
      <c r="J26" s="441">
        <v>2.7</v>
      </c>
    </row>
    <row r="27" spans="1:10" ht="16.5" customHeight="1" x14ac:dyDescent="0.3">
      <c r="A27" s="433">
        <v>4</v>
      </c>
      <c r="B27" s="434">
        <v>10925612</v>
      </c>
      <c r="C27" s="434">
        <v>38929.300000000003</v>
      </c>
      <c r="D27" s="435">
        <v>1</v>
      </c>
      <c r="E27" s="442">
        <v>21.5</v>
      </c>
      <c r="F27" s="437">
        <v>11308769</v>
      </c>
      <c r="G27" s="438">
        <v>333751.40000000002</v>
      </c>
      <c r="H27" s="439">
        <v>22.7</v>
      </c>
      <c r="I27" s="440">
        <v>1</v>
      </c>
      <c r="J27" s="441">
        <v>2.7</v>
      </c>
    </row>
    <row r="28" spans="1:10" ht="16.5" customHeight="1" x14ac:dyDescent="0.3">
      <c r="A28" s="433">
        <v>5</v>
      </c>
      <c r="B28" s="434">
        <v>10952124</v>
      </c>
      <c r="C28" s="434">
        <v>38974.9</v>
      </c>
      <c r="D28" s="435">
        <v>1</v>
      </c>
      <c r="E28" s="442">
        <v>21.5</v>
      </c>
      <c r="F28" s="437">
        <v>11353326</v>
      </c>
      <c r="G28" s="438">
        <v>33661.199999999997</v>
      </c>
      <c r="H28" s="440">
        <v>22.7</v>
      </c>
      <c r="I28" s="440">
        <v>1</v>
      </c>
      <c r="J28" s="441">
        <v>2.7</v>
      </c>
    </row>
    <row r="29" spans="1:10" ht="16.5" customHeight="1" x14ac:dyDescent="0.3">
      <c r="A29" s="433">
        <v>6</v>
      </c>
      <c r="B29" s="443">
        <v>10943153</v>
      </c>
      <c r="C29" s="443">
        <v>38983.4</v>
      </c>
      <c r="D29" s="444">
        <v>1</v>
      </c>
      <c r="E29" s="445">
        <v>21.5</v>
      </c>
      <c r="F29" s="437">
        <v>11403849</v>
      </c>
      <c r="G29" s="438">
        <v>33545.9</v>
      </c>
      <c r="H29" s="440">
        <v>22.7</v>
      </c>
      <c r="I29" s="440">
        <v>1</v>
      </c>
      <c r="J29" s="441">
        <v>2.7</v>
      </c>
    </row>
    <row r="30" spans="1:10" ht="16.5" customHeight="1" x14ac:dyDescent="0.3">
      <c r="A30" s="446" t="s">
        <v>126</v>
      </c>
      <c r="B30" s="447">
        <f>AVERAGE(B24:B29)</f>
        <v>10943422.5</v>
      </c>
      <c r="C30" s="448">
        <f>AVERAGE(C24:C29)</f>
        <v>38956.783333333333</v>
      </c>
      <c r="D30" s="449">
        <f>AVERAGE(D24:D29)</f>
        <v>1</v>
      </c>
      <c r="E30" s="450">
        <f>AVERAGE(E24:E29)</f>
        <v>21.5</v>
      </c>
      <c r="F30" s="451">
        <f>AVERAGE(F24:F29)</f>
        <v>11322422</v>
      </c>
      <c r="G30" s="452"/>
      <c r="H30" s="452"/>
      <c r="I30" s="452"/>
      <c r="J30" s="453"/>
    </row>
    <row r="31" spans="1:10" ht="16.5" customHeight="1" x14ac:dyDescent="0.3">
      <c r="A31" s="454" t="s">
        <v>127</v>
      </c>
      <c r="B31" s="455">
        <f>(STDEV(B24:B29)/B30)</f>
        <v>1.3423577933276652E-3</v>
      </c>
      <c r="C31" s="456"/>
      <c r="D31" s="456"/>
      <c r="E31" s="457"/>
      <c r="F31" s="458">
        <f>STDEV(F24:F29)/F30</f>
        <v>4.687729410591885E-3</v>
      </c>
      <c r="G31" s="459"/>
      <c r="H31" s="459"/>
      <c r="I31" s="460"/>
      <c r="J31" s="461"/>
    </row>
    <row r="32" spans="1:10" s="416" customFormat="1" ht="16.5" customHeight="1" x14ac:dyDescent="0.3">
      <c r="A32" s="462" t="s">
        <v>66</v>
      </c>
      <c r="B32" s="463">
        <f>COUNT(B24:B29)</f>
        <v>6</v>
      </c>
      <c r="C32" s="464"/>
      <c r="D32" s="465"/>
      <c r="E32" s="465"/>
      <c r="F32" s="466">
        <f>COUNT(F24:F29)</f>
        <v>6</v>
      </c>
      <c r="G32" s="467"/>
      <c r="H32" s="467"/>
      <c r="I32" s="468"/>
      <c r="J32" s="467"/>
    </row>
    <row r="33" spans="1:5" s="416" customFormat="1" ht="15.75" customHeight="1" x14ac:dyDescent="0.25">
      <c r="A33" s="424"/>
      <c r="B33" s="424"/>
      <c r="C33" s="424"/>
      <c r="D33" s="424"/>
      <c r="E33" s="424"/>
    </row>
    <row r="34" spans="1:5" s="416" customFormat="1" ht="16.5" customHeight="1" x14ac:dyDescent="0.3">
      <c r="A34" s="426" t="s">
        <v>128</v>
      </c>
      <c r="B34" s="469" t="s">
        <v>129</v>
      </c>
      <c r="C34" s="470"/>
      <c r="D34" s="470"/>
      <c r="E34" s="470"/>
    </row>
    <row r="35" spans="1:5" ht="16.5" customHeight="1" x14ac:dyDescent="0.3">
      <c r="A35" s="426"/>
      <c r="B35" s="469" t="s">
        <v>130</v>
      </c>
      <c r="C35" s="470"/>
      <c r="D35" s="470"/>
      <c r="E35" s="470"/>
    </row>
    <row r="36" spans="1:5" ht="16.5" customHeight="1" x14ac:dyDescent="0.3">
      <c r="A36" s="426"/>
      <c r="B36" s="469" t="s">
        <v>131</v>
      </c>
      <c r="C36" s="470"/>
      <c r="D36" s="470"/>
      <c r="E36" s="470"/>
    </row>
    <row r="37" spans="1:5" ht="16.5" customHeight="1" x14ac:dyDescent="0.3">
      <c r="A37" s="426"/>
      <c r="B37" s="469"/>
      <c r="C37" s="470"/>
      <c r="D37" s="470"/>
      <c r="E37" s="470"/>
    </row>
    <row r="38" spans="1:5" ht="16.5" customHeight="1" x14ac:dyDescent="0.3">
      <c r="A38" s="426"/>
      <c r="B38" s="469"/>
      <c r="C38" s="470"/>
      <c r="D38" s="470"/>
      <c r="E38" s="470"/>
    </row>
    <row r="39" spans="1:5" ht="16.5" customHeight="1" x14ac:dyDescent="0.3">
      <c r="A39" s="426"/>
      <c r="B39" s="469"/>
      <c r="C39" s="470"/>
      <c r="D39" s="470"/>
      <c r="E39" s="470"/>
    </row>
    <row r="40" spans="1:5" ht="16.5" customHeight="1" x14ac:dyDescent="0.3">
      <c r="A40" s="426"/>
      <c r="B40" s="469"/>
      <c r="C40" s="470"/>
      <c r="D40" s="470"/>
      <c r="E40" s="470"/>
    </row>
    <row r="41" spans="1:5" ht="16.5" customHeight="1" x14ac:dyDescent="0.3">
      <c r="A41" s="426"/>
      <c r="B41" s="469"/>
      <c r="C41" s="470"/>
      <c r="D41" s="470"/>
      <c r="E41" s="470"/>
    </row>
    <row r="42" spans="1:5" ht="15.75" customHeight="1" x14ac:dyDescent="0.25">
      <c r="A42" s="424"/>
      <c r="B42" s="424"/>
      <c r="C42" s="424"/>
      <c r="D42" s="424"/>
      <c r="E42" s="424"/>
    </row>
    <row r="43" spans="1:5" ht="16.5" customHeight="1" x14ac:dyDescent="0.3">
      <c r="A43" s="418" t="s">
        <v>12</v>
      </c>
      <c r="B43" s="419" t="s">
        <v>132</v>
      </c>
    </row>
    <row r="44" spans="1:5" ht="16.5" customHeight="1" x14ac:dyDescent="0.3">
      <c r="A44" s="426" t="s">
        <v>27</v>
      </c>
      <c r="B44" s="420" t="s">
        <v>133</v>
      </c>
      <c r="C44" s="424"/>
      <c r="D44" s="424"/>
      <c r="E44" s="424"/>
    </row>
    <row r="45" spans="1:5" ht="16.5" customHeight="1" x14ac:dyDescent="0.3">
      <c r="A45" s="426" t="s">
        <v>29</v>
      </c>
      <c r="B45" s="427">
        <v>96.4</v>
      </c>
      <c r="C45" s="424"/>
      <c r="D45" s="424"/>
      <c r="E45" s="424"/>
    </row>
    <row r="46" spans="1:5" ht="16.5" customHeight="1" x14ac:dyDescent="0.3">
      <c r="A46" s="420" t="s">
        <v>117</v>
      </c>
      <c r="B46" s="427">
        <v>12.72</v>
      </c>
      <c r="C46" s="424"/>
      <c r="D46" s="424"/>
      <c r="E46" s="424"/>
    </row>
    <row r="47" spans="1:5" ht="16.5" customHeight="1" x14ac:dyDescent="0.3">
      <c r="A47" s="420" t="s">
        <v>118</v>
      </c>
      <c r="B47" s="429">
        <v>1.052E-2</v>
      </c>
      <c r="C47" s="424"/>
      <c r="D47" s="424"/>
      <c r="E47" s="424"/>
    </row>
    <row r="48" spans="1:5" ht="15.75" customHeight="1" x14ac:dyDescent="0.25">
      <c r="A48" s="424"/>
      <c r="B48" s="424"/>
      <c r="C48" s="424"/>
      <c r="D48" s="424"/>
      <c r="E48" s="424"/>
    </row>
    <row r="49" spans="1:7" ht="16.5" customHeight="1" x14ac:dyDescent="0.3">
      <c r="A49" s="430" t="s">
        <v>119</v>
      </c>
      <c r="B49" s="431" t="s">
        <v>134</v>
      </c>
      <c r="C49" s="430" t="s">
        <v>121</v>
      </c>
      <c r="D49" s="430" t="s">
        <v>122</v>
      </c>
      <c r="E49" s="430" t="s">
        <v>123</v>
      </c>
    </row>
    <row r="50" spans="1:7" ht="16.5" customHeight="1" x14ac:dyDescent="0.3">
      <c r="A50" s="433">
        <v>1</v>
      </c>
      <c r="B50" s="434">
        <v>5063619</v>
      </c>
      <c r="C50" s="434">
        <v>13365.1</v>
      </c>
      <c r="D50" s="435">
        <v>1.1000000000000001</v>
      </c>
      <c r="E50" s="435">
        <v>5.5</v>
      </c>
    </row>
    <row r="51" spans="1:7" ht="16.5" customHeight="1" x14ac:dyDescent="0.3">
      <c r="A51" s="433">
        <v>2</v>
      </c>
      <c r="B51" s="434">
        <v>5194015</v>
      </c>
      <c r="C51" s="434">
        <v>13442.8</v>
      </c>
      <c r="D51" s="435">
        <v>1</v>
      </c>
      <c r="E51" s="435">
        <v>5.5</v>
      </c>
    </row>
    <row r="52" spans="1:7" ht="16.5" customHeight="1" x14ac:dyDescent="0.3">
      <c r="A52" s="433">
        <v>3</v>
      </c>
      <c r="B52" s="434">
        <v>5203657</v>
      </c>
      <c r="C52" s="434">
        <v>13333.8</v>
      </c>
      <c r="D52" s="435">
        <v>1.1000000000000001</v>
      </c>
      <c r="E52" s="435">
        <v>5.5</v>
      </c>
    </row>
    <row r="53" spans="1:7" ht="16.5" customHeight="1" x14ac:dyDescent="0.3">
      <c r="A53" s="433">
        <v>4</v>
      </c>
      <c r="B53" s="434">
        <v>5188131</v>
      </c>
      <c r="C53" s="434">
        <v>13356.5</v>
      </c>
      <c r="D53" s="435">
        <v>1.1000000000000001</v>
      </c>
      <c r="E53" s="435">
        <v>5.5</v>
      </c>
    </row>
    <row r="54" spans="1:7" ht="16.5" customHeight="1" x14ac:dyDescent="0.3">
      <c r="A54" s="433">
        <v>5</v>
      </c>
      <c r="B54" s="443">
        <v>5203430</v>
      </c>
      <c r="C54" s="443">
        <v>13323.9</v>
      </c>
      <c r="D54" s="444">
        <v>1</v>
      </c>
      <c r="E54" s="444">
        <v>5.5</v>
      </c>
    </row>
    <row r="55" spans="1:7" ht="16.5" customHeight="1" x14ac:dyDescent="0.3">
      <c r="A55" s="433">
        <v>6</v>
      </c>
      <c r="B55" s="443">
        <v>5177593</v>
      </c>
      <c r="C55" s="443">
        <v>13409.7</v>
      </c>
      <c r="D55" s="444">
        <v>1.1000000000000001</v>
      </c>
      <c r="E55" s="444">
        <v>5.5</v>
      </c>
    </row>
    <row r="56" spans="1:7" ht="16.5" customHeight="1" x14ac:dyDescent="0.3">
      <c r="A56" s="446" t="s">
        <v>126</v>
      </c>
      <c r="B56" s="447">
        <f>AVERAGE(B50:B55)</f>
        <v>5171740.833333333</v>
      </c>
      <c r="C56" s="448">
        <f>AVERAGE(C50:C55)</f>
        <v>13371.966666666665</v>
      </c>
      <c r="D56" s="449">
        <f>AVERAGE(D50:D55)</f>
        <v>1.0666666666666667</v>
      </c>
      <c r="E56" s="449">
        <f>AVERAGE(E50:E55)</f>
        <v>5.5</v>
      </c>
    </row>
    <row r="57" spans="1:7" ht="16.5" customHeight="1" x14ac:dyDescent="0.3">
      <c r="A57" s="454" t="s">
        <v>127</v>
      </c>
      <c r="B57" s="455">
        <f>(STDEV(B50:B55)/B56)</f>
        <v>1.0417052863706271E-2</v>
      </c>
      <c r="C57" s="456"/>
      <c r="D57" s="456"/>
      <c r="E57" s="471"/>
    </row>
    <row r="58" spans="1:7" s="416" customFormat="1" ht="16.5" customHeight="1" x14ac:dyDescent="0.3">
      <c r="A58" s="462" t="s">
        <v>66</v>
      </c>
      <c r="B58" s="463">
        <f>COUNT(B50:B55)</f>
        <v>6</v>
      </c>
      <c r="C58" s="464"/>
      <c r="D58" s="465"/>
      <c r="E58" s="472"/>
    </row>
    <row r="59" spans="1:7" s="416" customFormat="1" ht="15.75" customHeight="1" x14ac:dyDescent="0.25">
      <c r="A59" s="424"/>
      <c r="B59" s="424"/>
      <c r="C59" s="424"/>
      <c r="D59" s="424"/>
      <c r="E59" s="424"/>
    </row>
    <row r="60" spans="1:7" s="416" customFormat="1" ht="16.5" customHeight="1" x14ac:dyDescent="0.3">
      <c r="A60" s="426" t="s">
        <v>128</v>
      </c>
      <c r="B60" s="469" t="s">
        <v>129</v>
      </c>
      <c r="C60" s="470"/>
      <c r="D60" s="470"/>
      <c r="E60" s="470"/>
    </row>
    <row r="61" spans="1:7" ht="16.5" customHeight="1" x14ac:dyDescent="0.3">
      <c r="A61" s="426"/>
      <c r="B61" s="469" t="s">
        <v>130</v>
      </c>
      <c r="C61" s="470"/>
      <c r="D61" s="470"/>
      <c r="E61" s="470"/>
    </row>
    <row r="62" spans="1:7" ht="16.5" customHeight="1" x14ac:dyDescent="0.3">
      <c r="A62" s="426"/>
      <c r="B62" s="469" t="s">
        <v>131</v>
      </c>
      <c r="C62" s="470"/>
      <c r="D62" s="470"/>
      <c r="E62" s="470"/>
    </row>
    <row r="63" spans="1:7" ht="14.25" customHeight="1" thickBot="1" x14ac:dyDescent="0.3">
      <c r="A63" s="473"/>
      <c r="B63" s="474"/>
      <c r="D63" s="475"/>
      <c r="F63" s="425"/>
      <c r="G63" s="425"/>
    </row>
    <row r="64" spans="1:7" ht="15" customHeight="1" x14ac:dyDescent="0.3">
      <c r="B64" s="494" t="s">
        <v>19</v>
      </c>
      <c r="C64" s="494"/>
      <c r="E64" s="476" t="s">
        <v>20</v>
      </c>
      <c r="F64" s="477"/>
      <c r="G64" s="476" t="s">
        <v>21</v>
      </c>
    </row>
    <row r="65" spans="1:7" ht="15" customHeight="1" x14ac:dyDescent="0.3">
      <c r="A65" s="478" t="s">
        <v>22</v>
      </c>
      <c r="B65" s="483" t="s">
        <v>135</v>
      </c>
      <c r="C65" s="479"/>
      <c r="E65" s="479"/>
      <c r="G65" s="479"/>
    </row>
    <row r="66" spans="1:7" ht="15" customHeight="1" x14ac:dyDescent="0.3">
      <c r="A66" s="478" t="s">
        <v>23</v>
      </c>
      <c r="B66" s="480"/>
      <c r="C66" s="480"/>
      <c r="E66" s="480"/>
      <c r="G66" s="48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64:C64"/>
  </mergeCells>
  <pageMargins left="0.7" right="0.7" top="0.75" bottom="0.75" header="0.3" footer="0.3"/>
  <pageSetup scale="3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B98" zoomScale="50" zoomScaleNormal="40" zoomScalePageLayoutView="50" workbookViewId="0">
      <selection activeCell="F117" sqref="F117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95" t="s">
        <v>24</v>
      </c>
      <c r="B1" s="495"/>
      <c r="C1" s="495"/>
      <c r="D1" s="495"/>
      <c r="E1" s="495"/>
      <c r="F1" s="495"/>
      <c r="G1" s="495"/>
      <c r="H1" s="495"/>
      <c r="I1" s="495"/>
    </row>
    <row r="2" spans="1:9" ht="18.75" customHeight="1" x14ac:dyDescent="0.25">
      <c r="A2" s="495"/>
      <c r="B2" s="495"/>
      <c r="C2" s="495"/>
      <c r="D2" s="495"/>
      <c r="E2" s="495"/>
      <c r="F2" s="495"/>
      <c r="G2" s="495"/>
      <c r="H2" s="495"/>
      <c r="I2" s="495"/>
    </row>
    <row r="3" spans="1:9" ht="18.75" customHeight="1" x14ac:dyDescent="0.25">
      <c r="A3" s="495"/>
      <c r="B3" s="495"/>
      <c r="C3" s="495"/>
      <c r="D3" s="495"/>
      <c r="E3" s="495"/>
      <c r="F3" s="495"/>
      <c r="G3" s="495"/>
      <c r="H3" s="495"/>
      <c r="I3" s="495"/>
    </row>
    <row r="4" spans="1:9" ht="18.75" customHeight="1" x14ac:dyDescent="0.25">
      <c r="A4" s="495"/>
      <c r="B4" s="495"/>
      <c r="C4" s="495"/>
      <c r="D4" s="495"/>
      <c r="E4" s="495"/>
      <c r="F4" s="495"/>
      <c r="G4" s="495"/>
      <c r="H4" s="495"/>
      <c r="I4" s="495"/>
    </row>
    <row r="5" spans="1:9" ht="18.75" customHeight="1" x14ac:dyDescent="0.25">
      <c r="A5" s="495"/>
      <c r="B5" s="495"/>
      <c r="C5" s="495"/>
      <c r="D5" s="495"/>
      <c r="E5" s="495"/>
      <c r="F5" s="495"/>
      <c r="G5" s="495"/>
      <c r="H5" s="495"/>
      <c r="I5" s="495"/>
    </row>
    <row r="6" spans="1:9" ht="18.75" customHeight="1" x14ac:dyDescent="0.25">
      <c r="A6" s="495"/>
      <c r="B6" s="495"/>
      <c r="C6" s="495"/>
      <c r="D6" s="495"/>
      <c r="E6" s="495"/>
      <c r="F6" s="495"/>
      <c r="G6" s="495"/>
      <c r="H6" s="495"/>
      <c r="I6" s="495"/>
    </row>
    <row r="7" spans="1:9" ht="18.75" customHeight="1" x14ac:dyDescent="0.25">
      <c r="A7" s="495"/>
      <c r="B7" s="495"/>
      <c r="C7" s="495"/>
      <c r="D7" s="495"/>
      <c r="E7" s="495"/>
      <c r="F7" s="495"/>
      <c r="G7" s="495"/>
      <c r="H7" s="495"/>
      <c r="I7" s="495"/>
    </row>
    <row r="8" spans="1:9" x14ac:dyDescent="0.25">
      <c r="A8" s="496" t="s">
        <v>25</v>
      </c>
      <c r="B8" s="496"/>
      <c r="C8" s="496"/>
      <c r="D8" s="496"/>
      <c r="E8" s="496"/>
      <c r="F8" s="496"/>
      <c r="G8" s="496"/>
      <c r="H8" s="496"/>
      <c r="I8" s="496"/>
    </row>
    <row r="9" spans="1:9" x14ac:dyDescent="0.25">
      <c r="A9" s="496"/>
      <c r="B9" s="496"/>
      <c r="C9" s="496"/>
      <c r="D9" s="496"/>
      <c r="E9" s="496"/>
      <c r="F9" s="496"/>
      <c r="G9" s="496"/>
      <c r="H9" s="496"/>
      <c r="I9" s="496"/>
    </row>
    <row r="10" spans="1:9" x14ac:dyDescent="0.25">
      <c r="A10" s="496"/>
      <c r="B10" s="496"/>
      <c r="C10" s="496"/>
      <c r="D10" s="496"/>
      <c r="E10" s="496"/>
      <c r="F10" s="496"/>
      <c r="G10" s="496"/>
      <c r="H10" s="496"/>
      <c r="I10" s="496"/>
    </row>
    <row r="11" spans="1:9" x14ac:dyDescent="0.25">
      <c r="A11" s="496"/>
      <c r="B11" s="496"/>
      <c r="C11" s="496"/>
      <c r="D11" s="496"/>
      <c r="E11" s="496"/>
      <c r="F11" s="496"/>
      <c r="G11" s="496"/>
      <c r="H11" s="496"/>
      <c r="I11" s="496"/>
    </row>
    <row r="12" spans="1:9" x14ac:dyDescent="0.25">
      <c r="A12" s="496"/>
      <c r="B12" s="496"/>
      <c r="C12" s="496"/>
      <c r="D12" s="496"/>
      <c r="E12" s="496"/>
      <c r="F12" s="496"/>
      <c r="G12" s="496"/>
      <c r="H12" s="496"/>
      <c r="I12" s="496"/>
    </row>
    <row r="13" spans="1:9" x14ac:dyDescent="0.25">
      <c r="A13" s="496"/>
      <c r="B13" s="496"/>
      <c r="C13" s="496"/>
      <c r="D13" s="496"/>
      <c r="E13" s="496"/>
      <c r="F13" s="496"/>
      <c r="G13" s="496"/>
      <c r="H13" s="496"/>
      <c r="I13" s="496"/>
    </row>
    <row r="14" spans="1:9" x14ac:dyDescent="0.25">
      <c r="A14" s="496"/>
      <c r="B14" s="496"/>
      <c r="C14" s="496"/>
      <c r="D14" s="496"/>
      <c r="E14" s="496"/>
      <c r="F14" s="496"/>
      <c r="G14" s="496"/>
      <c r="H14" s="496"/>
      <c r="I14" s="496"/>
    </row>
    <row r="15" spans="1:9" ht="19.5" customHeight="1" x14ac:dyDescent="0.3">
      <c r="A15" s="48"/>
    </row>
    <row r="16" spans="1:9" ht="19.5" customHeight="1" x14ac:dyDescent="0.3">
      <c r="A16" s="529" t="s">
        <v>0</v>
      </c>
      <c r="B16" s="530"/>
      <c r="C16" s="530"/>
      <c r="D16" s="530"/>
      <c r="E16" s="530"/>
      <c r="F16" s="530"/>
      <c r="G16" s="530"/>
      <c r="H16" s="531"/>
    </row>
    <row r="17" spans="1:14" ht="20.25" customHeight="1" x14ac:dyDescent="0.25">
      <c r="A17" s="532" t="s">
        <v>26</v>
      </c>
      <c r="B17" s="532"/>
      <c r="C17" s="532"/>
      <c r="D17" s="532"/>
      <c r="E17" s="532"/>
      <c r="F17" s="532"/>
      <c r="G17" s="532"/>
      <c r="H17" s="532"/>
    </row>
    <row r="18" spans="1:14" ht="26.25" customHeight="1" x14ac:dyDescent="0.4">
      <c r="A18" s="50" t="s">
        <v>2</v>
      </c>
      <c r="B18" s="528" t="s">
        <v>107</v>
      </c>
      <c r="C18" s="528"/>
      <c r="D18" s="213"/>
      <c r="E18" s="51"/>
      <c r="F18" s="52"/>
      <c r="G18" s="52"/>
      <c r="H18" s="52"/>
    </row>
    <row r="19" spans="1:14" ht="26.25" customHeight="1" x14ac:dyDescent="0.4">
      <c r="A19" s="50" t="s">
        <v>4</v>
      </c>
      <c r="B19" s="405" t="s">
        <v>5</v>
      </c>
      <c r="C19" s="215">
        <v>1</v>
      </c>
      <c r="D19" s="52"/>
      <c r="E19" s="52"/>
      <c r="F19" s="52"/>
      <c r="G19" s="52"/>
      <c r="H19" s="52"/>
    </row>
    <row r="20" spans="1:14" ht="26.25" customHeight="1" x14ac:dyDescent="0.4">
      <c r="A20" s="50" t="s">
        <v>6</v>
      </c>
      <c r="B20" s="533" t="s">
        <v>108</v>
      </c>
      <c r="C20" s="533"/>
      <c r="D20" s="52"/>
      <c r="E20" s="52"/>
      <c r="F20" s="52"/>
      <c r="G20" s="52"/>
      <c r="H20" s="52"/>
    </row>
    <row r="21" spans="1:14" ht="26.25" customHeight="1" x14ac:dyDescent="0.4">
      <c r="A21" s="50" t="s">
        <v>8</v>
      </c>
      <c r="B21" s="533" t="s">
        <v>109</v>
      </c>
      <c r="C21" s="533"/>
      <c r="D21" s="533"/>
      <c r="E21" s="533"/>
      <c r="F21" s="533"/>
      <c r="G21" s="533"/>
      <c r="H21" s="533"/>
      <c r="I21" s="53"/>
    </row>
    <row r="22" spans="1:14" ht="26.25" customHeight="1" x14ac:dyDescent="0.4">
      <c r="A22" s="50" t="s">
        <v>9</v>
      </c>
      <c r="B22" s="54"/>
      <c r="C22" s="52"/>
      <c r="D22" s="52"/>
      <c r="E22" s="52"/>
      <c r="F22" s="52"/>
      <c r="G22" s="52"/>
      <c r="H22" s="52"/>
    </row>
    <row r="23" spans="1:14" ht="26.25" customHeight="1" x14ac:dyDescent="0.4">
      <c r="A23" s="50" t="s">
        <v>11</v>
      </c>
      <c r="B23" s="54"/>
      <c r="C23" s="52"/>
      <c r="D23" s="52"/>
      <c r="E23" s="52"/>
      <c r="F23" s="52"/>
      <c r="G23" s="52"/>
      <c r="H23" s="52"/>
    </row>
    <row r="24" spans="1:14" ht="18.75" x14ac:dyDescent="0.3">
      <c r="A24" s="50"/>
      <c r="B24" s="55"/>
    </row>
    <row r="25" spans="1:14" ht="18.75" x14ac:dyDescent="0.3">
      <c r="A25" s="56" t="s">
        <v>12</v>
      </c>
      <c r="B25" s="55"/>
    </row>
    <row r="26" spans="1:14" ht="26.25" customHeight="1" x14ac:dyDescent="0.4">
      <c r="A26" s="57" t="s">
        <v>27</v>
      </c>
      <c r="B26" s="528" t="s">
        <v>110</v>
      </c>
      <c r="C26" s="528"/>
    </row>
    <row r="27" spans="1:14" ht="26.25" customHeight="1" x14ac:dyDescent="0.4">
      <c r="A27" s="58" t="s">
        <v>28</v>
      </c>
      <c r="B27" s="526"/>
      <c r="C27" s="526"/>
    </row>
    <row r="28" spans="1:14" ht="27" customHeight="1" x14ac:dyDescent="0.4">
      <c r="A28" s="58" t="s">
        <v>29</v>
      </c>
      <c r="B28" s="59">
        <v>82.125</v>
      </c>
    </row>
    <row r="29" spans="1:14" s="15" customFormat="1" ht="27" customHeight="1" x14ac:dyDescent="0.4">
      <c r="A29" s="58" t="s">
        <v>30</v>
      </c>
      <c r="B29" s="60">
        <v>0</v>
      </c>
      <c r="C29" s="503" t="s">
        <v>31</v>
      </c>
      <c r="D29" s="504"/>
      <c r="E29" s="504"/>
      <c r="F29" s="504"/>
      <c r="G29" s="505"/>
      <c r="I29" s="61"/>
      <c r="J29" s="61"/>
      <c r="K29" s="61"/>
      <c r="L29" s="61"/>
    </row>
    <row r="30" spans="1:14" s="15" customFormat="1" ht="19.5" customHeight="1" x14ac:dyDescent="0.3">
      <c r="A30" s="58" t="s">
        <v>32</v>
      </c>
      <c r="B30" s="62">
        <f>B28-B29</f>
        <v>82.125</v>
      </c>
      <c r="C30" s="63"/>
      <c r="D30" s="63"/>
      <c r="E30" s="63"/>
      <c r="F30" s="63"/>
      <c r="G30" s="64"/>
      <c r="I30" s="61"/>
      <c r="J30" s="61"/>
      <c r="K30" s="61"/>
      <c r="L30" s="61"/>
    </row>
    <row r="31" spans="1:14" s="15" customFormat="1" ht="27" customHeight="1" x14ac:dyDescent="0.4">
      <c r="A31" s="58" t="s">
        <v>33</v>
      </c>
      <c r="B31" s="65">
        <v>1</v>
      </c>
      <c r="C31" s="506" t="s">
        <v>34</v>
      </c>
      <c r="D31" s="507"/>
      <c r="E31" s="507"/>
      <c r="F31" s="507"/>
      <c r="G31" s="507"/>
      <c r="H31" s="508"/>
      <c r="I31" s="61"/>
      <c r="J31" s="61"/>
      <c r="K31" s="61"/>
      <c r="L31" s="61"/>
    </row>
    <row r="32" spans="1:14" s="15" customFormat="1" ht="27" customHeight="1" x14ac:dyDescent="0.4">
      <c r="A32" s="58" t="s">
        <v>35</v>
      </c>
      <c r="B32" s="65">
        <v>1</v>
      </c>
      <c r="C32" s="506" t="s">
        <v>36</v>
      </c>
      <c r="D32" s="507"/>
      <c r="E32" s="507"/>
      <c r="F32" s="507"/>
      <c r="G32" s="507"/>
      <c r="H32" s="508"/>
      <c r="I32" s="61"/>
      <c r="J32" s="61"/>
      <c r="K32" s="61"/>
      <c r="L32" s="66"/>
      <c r="M32" s="66"/>
      <c r="N32" s="67"/>
    </row>
    <row r="33" spans="1:14" s="15" customFormat="1" ht="17.25" customHeight="1" x14ac:dyDescent="0.3">
      <c r="A33" s="58"/>
      <c r="B33" s="68"/>
      <c r="C33" s="69"/>
      <c r="D33" s="69"/>
      <c r="E33" s="69"/>
      <c r="F33" s="69"/>
      <c r="G33" s="69"/>
      <c r="H33" s="69"/>
      <c r="I33" s="61"/>
      <c r="J33" s="61"/>
      <c r="K33" s="61"/>
      <c r="L33" s="66"/>
      <c r="M33" s="66"/>
      <c r="N33" s="67"/>
    </row>
    <row r="34" spans="1:14" s="15" customFormat="1" ht="18.75" x14ac:dyDescent="0.3">
      <c r="A34" s="58" t="s">
        <v>37</v>
      </c>
      <c r="B34" s="70">
        <f>B31/B32</f>
        <v>1</v>
      </c>
      <c r="C34" s="49" t="s">
        <v>38</v>
      </c>
      <c r="D34" s="49"/>
      <c r="E34" s="49"/>
      <c r="F34" s="49"/>
      <c r="G34" s="49"/>
      <c r="I34" s="61"/>
      <c r="J34" s="61"/>
      <c r="K34" s="61"/>
      <c r="L34" s="66"/>
      <c r="M34" s="66"/>
      <c r="N34" s="67"/>
    </row>
    <row r="35" spans="1:14" s="15" customFormat="1" ht="19.5" customHeight="1" x14ac:dyDescent="0.3">
      <c r="A35" s="58"/>
      <c r="B35" s="62"/>
      <c r="G35" s="49"/>
      <c r="I35" s="61"/>
      <c r="J35" s="61"/>
      <c r="K35" s="61"/>
      <c r="L35" s="66"/>
      <c r="M35" s="66"/>
      <c r="N35" s="67"/>
    </row>
    <row r="36" spans="1:14" s="15" customFormat="1" ht="27" customHeight="1" x14ac:dyDescent="0.4">
      <c r="A36" s="71" t="s">
        <v>39</v>
      </c>
      <c r="B36" s="72">
        <v>25</v>
      </c>
      <c r="C36" s="49"/>
      <c r="D36" s="509" t="s">
        <v>40</v>
      </c>
      <c r="E36" s="527"/>
      <c r="F36" s="509" t="s">
        <v>41</v>
      </c>
      <c r="G36" s="510"/>
      <c r="J36" s="61"/>
      <c r="K36" s="61"/>
      <c r="L36" s="66"/>
      <c r="M36" s="66"/>
      <c r="N36" s="67"/>
    </row>
    <row r="37" spans="1:14" s="15" customFormat="1" ht="27" customHeight="1" x14ac:dyDescent="0.4">
      <c r="A37" s="73" t="s">
        <v>42</v>
      </c>
      <c r="B37" s="74">
        <v>10</v>
      </c>
      <c r="C37" s="75" t="s">
        <v>43</v>
      </c>
      <c r="D37" s="76" t="s">
        <v>44</v>
      </c>
      <c r="E37" s="77" t="s">
        <v>45</v>
      </c>
      <c r="F37" s="76" t="s">
        <v>44</v>
      </c>
      <c r="G37" s="78" t="s">
        <v>45</v>
      </c>
      <c r="I37" s="79" t="s">
        <v>46</v>
      </c>
      <c r="J37" s="61"/>
      <c r="K37" s="61"/>
      <c r="L37" s="66"/>
      <c r="M37" s="66"/>
      <c r="N37" s="67"/>
    </row>
    <row r="38" spans="1:14" s="15" customFormat="1" ht="26.25" customHeight="1" thickBot="1" x14ac:dyDescent="0.45">
      <c r="A38" s="73" t="s">
        <v>47</v>
      </c>
      <c r="B38" s="74">
        <v>100</v>
      </c>
      <c r="C38" s="80">
        <v>1</v>
      </c>
      <c r="D38" s="81">
        <v>22294756</v>
      </c>
      <c r="E38" s="82">
        <f>IF(ISBLANK(D38),"-",$D$48/$D$45*D38)</f>
        <v>19402046.657668266</v>
      </c>
      <c r="F38" s="406"/>
      <c r="G38" s="83" t="str">
        <f>IF(ISBLANK(F38),"-",$D$48/$F$45*F38)</f>
        <v>-</v>
      </c>
      <c r="I38" s="84"/>
      <c r="J38" s="61"/>
      <c r="K38" s="61"/>
      <c r="L38" s="66"/>
      <c r="M38" s="66"/>
      <c r="N38" s="67"/>
    </row>
    <row r="39" spans="1:14" s="15" customFormat="1" ht="26.25" customHeight="1" thickBot="1" x14ac:dyDescent="0.45">
      <c r="A39" s="73" t="s">
        <v>48</v>
      </c>
      <c r="B39" s="74">
        <v>1</v>
      </c>
      <c r="C39" s="85">
        <v>2</v>
      </c>
      <c r="D39" s="86">
        <v>22110137</v>
      </c>
      <c r="E39" s="87">
        <f>IF(ISBLANK(D39),"-",$D$48/$D$45*D39)</f>
        <v>19241381.681030169</v>
      </c>
      <c r="F39" s="407">
        <f>12557272+13234134</f>
        <v>25791406</v>
      </c>
      <c r="G39" s="88">
        <f>IF(ISBLANK(F39),"-",$D$48/$F$45*F39)</f>
        <v>19896769.246316906</v>
      </c>
      <c r="I39" s="511">
        <f>ABS((F43/D43*D42)-F42)/D42</f>
        <v>3.5279477701838043E-2</v>
      </c>
      <c r="J39" s="61"/>
      <c r="K39" s="61"/>
      <c r="L39" s="66"/>
      <c r="M39" s="66"/>
      <c r="N39" s="67"/>
    </row>
    <row r="40" spans="1:14" ht="26.25" customHeight="1" x14ac:dyDescent="0.4">
      <c r="A40" s="73" t="s">
        <v>49</v>
      </c>
      <c r="B40" s="74">
        <v>1</v>
      </c>
      <c r="C40" s="85">
        <v>3</v>
      </c>
      <c r="D40" s="86">
        <v>22252132</v>
      </c>
      <c r="E40" s="87">
        <f>IF(ISBLANK(D40),"-",$D$48/$D$45*D40)</f>
        <v>19364953.054278463</v>
      </c>
      <c r="F40" s="407">
        <f>12617336+13288343</f>
        <v>25905679</v>
      </c>
      <c r="G40" s="88">
        <f>IF(ISBLANK(F40),"-",$D$48/$F$45*F40)</f>
        <v>19984925.103817824</v>
      </c>
      <c r="I40" s="511"/>
      <c r="L40" s="66"/>
      <c r="M40" s="66"/>
      <c r="N40" s="89"/>
    </row>
    <row r="41" spans="1:14" ht="27" customHeight="1" thickBot="1" x14ac:dyDescent="0.45">
      <c r="A41" s="73" t="s">
        <v>50</v>
      </c>
      <c r="B41" s="74">
        <v>1</v>
      </c>
      <c r="C41" s="90">
        <v>4</v>
      </c>
      <c r="D41" s="91"/>
      <c r="E41" s="92" t="str">
        <f>IF(ISBLANK(D41),"-",$D$48/$D$45*D41)</f>
        <v>-</v>
      </c>
      <c r="F41" s="408"/>
      <c r="G41" s="93" t="str">
        <f>IF(ISBLANK(F41),"-",$D$48/$F$45*F41)</f>
        <v>-</v>
      </c>
      <c r="I41" s="94"/>
      <c r="L41" s="66"/>
      <c r="M41" s="66"/>
      <c r="N41" s="89"/>
    </row>
    <row r="42" spans="1:14" ht="27" customHeight="1" thickBot="1" x14ac:dyDescent="0.45">
      <c r="A42" s="73" t="s">
        <v>51</v>
      </c>
      <c r="B42" s="74">
        <v>1</v>
      </c>
      <c r="C42" s="95" t="s">
        <v>52</v>
      </c>
      <c r="D42" s="96">
        <f>AVERAGE(D38:D41)</f>
        <v>22219008.333333332</v>
      </c>
      <c r="E42" s="97">
        <f>AVERAGE(E38:E41)</f>
        <v>19336127.130992297</v>
      </c>
      <c r="F42" s="96">
        <f>AVERAGE(F38:F41)</f>
        <v>25848542.5</v>
      </c>
      <c r="G42" s="98">
        <f>AVERAGE(G38:G41)</f>
        <v>19940847.175067365</v>
      </c>
      <c r="H42" s="99"/>
    </row>
    <row r="43" spans="1:14" ht="26.25" customHeight="1" x14ac:dyDescent="0.4">
      <c r="A43" s="73" t="s">
        <v>53</v>
      </c>
      <c r="B43" s="74">
        <v>1</v>
      </c>
      <c r="C43" s="100" t="s">
        <v>54</v>
      </c>
      <c r="D43" s="409">
        <v>17.489999999999998</v>
      </c>
      <c r="E43" s="89"/>
      <c r="F43" s="409">
        <v>19.73</v>
      </c>
      <c r="H43" s="99"/>
    </row>
    <row r="44" spans="1:14" ht="26.25" customHeight="1" x14ac:dyDescent="0.4">
      <c r="A44" s="73" t="s">
        <v>55</v>
      </c>
      <c r="B44" s="74">
        <v>1</v>
      </c>
      <c r="C44" s="101" t="s">
        <v>56</v>
      </c>
      <c r="D44" s="102">
        <f>D43*$B$34</f>
        <v>17.489999999999998</v>
      </c>
      <c r="E44" s="103"/>
      <c r="F44" s="102">
        <f>F43*$B$34</f>
        <v>19.73</v>
      </c>
      <c r="H44" s="99"/>
    </row>
    <row r="45" spans="1:14" ht="19.5" customHeight="1" x14ac:dyDescent="0.3">
      <c r="A45" s="73" t="s">
        <v>57</v>
      </c>
      <c r="B45" s="104">
        <f>(B44/B43)*(B42/B41)*(B40/B39)*(B38/B37)*B36</f>
        <v>250</v>
      </c>
      <c r="C45" s="101" t="s">
        <v>58</v>
      </c>
      <c r="D45" s="105">
        <f>D44*$B$30/100</f>
        <v>14.363662499999998</v>
      </c>
      <c r="E45" s="106"/>
      <c r="F45" s="105">
        <f>F44*$B$30/100</f>
        <v>16.203262500000001</v>
      </c>
      <c r="H45" s="99"/>
    </row>
    <row r="46" spans="1:14" ht="19.5" customHeight="1" x14ac:dyDescent="0.3">
      <c r="A46" s="497" t="s">
        <v>59</v>
      </c>
      <c r="B46" s="498"/>
      <c r="C46" s="101" t="s">
        <v>60</v>
      </c>
      <c r="D46" s="107">
        <f>D45/$B$45</f>
        <v>5.7454649999999996E-2</v>
      </c>
      <c r="E46" s="108"/>
      <c r="F46" s="109">
        <f>F45/$B$45</f>
        <v>6.4813050000000011E-2</v>
      </c>
      <c r="H46" s="99"/>
    </row>
    <row r="47" spans="1:14" ht="27" customHeight="1" x14ac:dyDescent="0.4">
      <c r="A47" s="499"/>
      <c r="B47" s="500"/>
      <c r="C47" s="110" t="s">
        <v>61</v>
      </c>
      <c r="D47" s="111">
        <v>0.05</v>
      </c>
      <c r="E47" s="112"/>
      <c r="F47" s="108"/>
      <c r="H47" s="99"/>
    </row>
    <row r="48" spans="1:14" ht="18.75" x14ac:dyDescent="0.3">
      <c r="C48" s="113" t="s">
        <v>62</v>
      </c>
      <c r="D48" s="105">
        <f>D47*$B$45</f>
        <v>12.5</v>
      </c>
      <c r="F48" s="114"/>
      <c r="H48" s="99"/>
    </row>
    <row r="49" spans="1:12" ht="19.5" customHeight="1" x14ac:dyDescent="0.3">
      <c r="C49" s="115" t="s">
        <v>63</v>
      </c>
      <c r="D49" s="116">
        <f>D48/B34</f>
        <v>12.5</v>
      </c>
      <c r="F49" s="114"/>
      <c r="H49" s="99"/>
    </row>
    <row r="50" spans="1:12" ht="18.75" x14ac:dyDescent="0.3">
      <c r="C50" s="71" t="s">
        <v>64</v>
      </c>
      <c r="D50" s="117">
        <f>AVERAGE(E38:E41,G38:G41)</f>
        <v>19578015.148622327</v>
      </c>
      <c r="F50" s="118"/>
      <c r="H50" s="99"/>
    </row>
    <row r="51" spans="1:12" ht="18.75" x14ac:dyDescent="0.3">
      <c r="C51" s="73" t="s">
        <v>65</v>
      </c>
      <c r="D51" s="119">
        <f>STDEV(E38:E41,G38:G41)/D50</f>
        <v>1.7262115806909294E-2</v>
      </c>
      <c r="F51" s="118"/>
      <c r="H51" s="99"/>
    </row>
    <row r="52" spans="1:12" ht="19.5" customHeight="1" x14ac:dyDescent="0.3">
      <c r="C52" s="120" t="s">
        <v>66</v>
      </c>
      <c r="D52" s="121">
        <f>COUNT(E38:E41,G38:G41)</f>
        <v>5</v>
      </c>
      <c r="F52" s="118"/>
    </row>
    <row r="54" spans="1:12" ht="18.75" x14ac:dyDescent="0.3">
      <c r="A54" s="122" t="s">
        <v>12</v>
      </c>
      <c r="B54" s="123" t="s">
        <v>67</v>
      </c>
    </row>
    <row r="55" spans="1:12" ht="18.75" x14ac:dyDescent="0.3">
      <c r="A55" s="49" t="s">
        <v>68</v>
      </c>
      <c r="B55" s="124" t="str">
        <f>B21</f>
        <v>EACH FILM COATED TABLET CONTAINS CEFUROXIME 500MG AND CLAVULANIC ACID 125 MG</v>
      </c>
    </row>
    <row r="56" spans="1:12" ht="26.25" customHeight="1" x14ac:dyDescent="0.4">
      <c r="A56" s="125" t="s">
        <v>69</v>
      </c>
      <c r="B56" s="126">
        <v>500</v>
      </c>
      <c r="C56" s="49" t="str">
        <f>B20</f>
        <v>CEFUROXIME</v>
      </c>
      <c r="H56" s="127"/>
    </row>
    <row r="57" spans="1:12" ht="18.75" x14ac:dyDescent="0.3">
      <c r="A57" s="124" t="s">
        <v>70</v>
      </c>
      <c r="B57" s="214">
        <f>Uniformity!C47</f>
        <v>1303.4095000000002</v>
      </c>
      <c r="H57" s="127"/>
    </row>
    <row r="58" spans="1:12" ht="19.5" customHeight="1" x14ac:dyDescent="0.3">
      <c r="H58" s="127"/>
    </row>
    <row r="59" spans="1:12" s="15" customFormat="1" ht="27" customHeight="1" x14ac:dyDescent="0.4">
      <c r="A59" s="71" t="s">
        <v>71</v>
      </c>
      <c r="B59" s="72">
        <v>100</v>
      </c>
      <c r="C59" s="49"/>
      <c r="D59" s="128" t="s">
        <v>72</v>
      </c>
      <c r="E59" s="129" t="s">
        <v>43</v>
      </c>
      <c r="F59" s="129" t="s">
        <v>44</v>
      </c>
      <c r="G59" s="129" t="s">
        <v>73</v>
      </c>
      <c r="H59" s="75" t="s">
        <v>74</v>
      </c>
      <c r="L59" s="61"/>
    </row>
    <row r="60" spans="1:12" s="15" customFormat="1" ht="26.25" customHeight="1" x14ac:dyDescent="0.4">
      <c r="A60" s="73" t="s">
        <v>75</v>
      </c>
      <c r="B60" s="74">
        <v>5</v>
      </c>
      <c r="C60" s="514" t="s">
        <v>76</v>
      </c>
      <c r="D60" s="517">
        <v>245.8</v>
      </c>
      <c r="E60" s="130">
        <v>1</v>
      </c>
      <c r="F60" s="131">
        <f>8240925+9264424</f>
        <v>17505349</v>
      </c>
      <c r="G60" s="216">
        <f>IF(ISBLANK(F60),"-",(F60/$D$50*$D$47*$B$68)*($B$57/$D$60))</f>
        <v>474.13401894885635</v>
      </c>
      <c r="H60" s="132">
        <f t="shared" ref="H60:H71" si="0">IF(ISBLANK(F60),"-",G60/$B$56)</f>
        <v>0.94826803789771275</v>
      </c>
      <c r="L60" s="61"/>
    </row>
    <row r="61" spans="1:12" s="15" customFormat="1" ht="26.25" customHeight="1" x14ac:dyDescent="0.4">
      <c r="A61" s="73" t="s">
        <v>77</v>
      </c>
      <c r="B61" s="74">
        <v>100</v>
      </c>
      <c r="C61" s="515"/>
      <c r="D61" s="518"/>
      <c r="E61" s="133">
        <v>2</v>
      </c>
      <c r="F61" s="86">
        <f>9131873+9174865</f>
        <v>18306738</v>
      </c>
      <c r="G61" s="217">
        <f>IF(ISBLANK(F61),"-",(F61/$D$50*$D$47*$B$68)*($B$57/$D$60))</f>
        <v>495.83971515128025</v>
      </c>
      <c r="H61" s="134"/>
      <c r="L61" s="61"/>
    </row>
    <row r="62" spans="1:12" s="15" customFormat="1" ht="26.25" customHeight="1" x14ac:dyDescent="0.4">
      <c r="A62" s="73" t="s">
        <v>78</v>
      </c>
      <c r="B62" s="74">
        <v>1</v>
      </c>
      <c r="C62" s="515"/>
      <c r="D62" s="518"/>
      <c r="E62" s="133">
        <v>3</v>
      </c>
      <c r="F62" s="135">
        <f>8103542+9037359</f>
        <v>17140901</v>
      </c>
      <c r="G62" s="217">
        <f>IF(ISBLANK(F62),"-",(F62/$D$50*$D$47*$B$68)*($B$57/$D$60))</f>
        <v>464.26291069857967</v>
      </c>
      <c r="H62" s="134">
        <f t="shared" si="0"/>
        <v>0.92852582139715933</v>
      </c>
      <c r="L62" s="61"/>
    </row>
    <row r="63" spans="1:12" ht="27" customHeight="1" x14ac:dyDescent="0.4">
      <c r="A63" s="73" t="s">
        <v>79</v>
      </c>
      <c r="B63" s="74">
        <v>1</v>
      </c>
      <c r="C63" s="525"/>
      <c r="D63" s="519"/>
      <c r="E63" s="136">
        <v>4</v>
      </c>
      <c r="F63" s="137"/>
      <c r="G63" s="217" t="str">
        <f>IF(ISBLANK(F63),"-",(F63/$D$50*$D$47*$B$68)*($B$57/$D$60))</f>
        <v>-</v>
      </c>
      <c r="H63" s="134" t="str">
        <f t="shared" si="0"/>
        <v>-</v>
      </c>
    </row>
    <row r="64" spans="1:12" ht="26.25" customHeight="1" x14ac:dyDescent="0.4">
      <c r="A64" s="73" t="s">
        <v>80</v>
      </c>
      <c r="B64" s="74">
        <v>1</v>
      </c>
      <c r="C64" s="514" t="s">
        <v>81</v>
      </c>
      <c r="D64" s="517">
        <v>257.08999999999997</v>
      </c>
      <c r="E64" s="130">
        <v>1</v>
      </c>
      <c r="F64" s="131">
        <f>8706204+9885415</f>
        <v>18591619</v>
      </c>
      <c r="G64" s="218">
        <f>IF(ISBLANK(F64),"-",(F64/$D$50*$D$47*$B$68)*($B$57/$D$64))</f>
        <v>481.44230352356686</v>
      </c>
      <c r="H64" s="138">
        <f t="shared" si="0"/>
        <v>0.96288460704713374</v>
      </c>
    </row>
    <row r="65" spans="1:8" ht="26.25" customHeight="1" x14ac:dyDescent="0.4">
      <c r="A65" s="73" t="s">
        <v>82</v>
      </c>
      <c r="B65" s="74">
        <v>1</v>
      </c>
      <c r="C65" s="515"/>
      <c r="D65" s="518"/>
      <c r="E65" s="133">
        <v>2</v>
      </c>
      <c r="F65" s="86">
        <f>9615125+9692864</f>
        <v>19307989</v>
      </c>
      <c r="G65" s="219">
        <f>IF(ISBLANK(F65),"-",(F65/$D$50*$D$47*$B$68)*($B$57/$D$64))</f>
        <v>499.99317975307531</v>
      </c>
      <c r="H65" s="139"/>
    </row>
    <row r="66" spans="1:8" ht="26.25" customHeight="1" x14ac:dyDescent="0.4">
      <c r="A66" s="73" t="s">
        <v>83</v>
      </c>
      <c r="B66" s="74">
        <v>1</v>
      </c>
      <c r="C66" s="515"/>
      <c r="D66" s="518"/>
      <c r="E66" s="133">
        <v>3</v>
      </c>
      <c r="F66" s="86">
        <f>8570286+9480886</f>
        <v>18051172</v>
      </c>
      <c r="G66" s="219">
        <f>IF(ISBLANK(F66),"-",(F66/$D$50*$D$47*$B$68)*($B$57/$D$64))</f>
        <v>467.4470700469987</v>
      </c>
      <c r="H66" s="139">
        <f t="shared" si="0"/>
        <v>0.93489414009399741</v>
      </c>
    </row>
    <row r="67" spans="1:8" ht="27" customHeight="1" x14ac:dyDescent="0.4">
      <c r="A67" s="73" t="s">
        <v>84</v>
      </c>
      <c r="B67" s="74">
        <v>1</v>
      </c>
      <c r="C67" s="525"/>
      <c r="D67" s="519"/>
      <c r="E67" s="136">
        <v>4</v>
      </c>
      <c r="F67" s="137"/>
      <c r="G67" s="220" t="str">
        <f>IF(ISBLANK(F67),"-",(F67/$D$50*$D$47*$B$68)*($B$57/$D$64))</f>
        <v>-</v>
      </c>
      <c r="H67" s="140" t="str">
        <f t="shared" si="0"/>
        <v>-</v>
      </c>
    </row>
    <row r="68" spans="1:8" ht="26.25" customHeight="1" x14ac:dyDescent="0.4">
      <c r="A68" s="73" t="s">
        <v>85</v>
      </c>
      <c r="B68" s="141">
        <f>(B67/B66)*(B65/B64)*(B63/B62)*(B61/B60)*B59</f>
        <v>2000</v>
      </c>
      <c r="C68" s="514" t="s">
        <v>86</v>
      </c>
      <c r="D68" s="517">
        <v>218.43</v>
      </c>
      <c r="E68" s="130">
        <v>1</v>
      </c>
      <c r="F68" s="131">
        <f>7260815+8358012</f>
        <v>15618827</v>
      </c>
      <c r="G68" s="218">
        <f>IF(ISBLANK(F68),"-",(F68/$D$50*$D$47*$B$68)*($B$57/$D$68))</f>
        <v>476.04537550507001</v>
      </c>
      <c r="H68" s="134">
        <f t="shared" si="0"/>
        <v>0.95209075101014007</v>
      </c>
    </row>
    <row r="69" spans="1:8" ht="27" customHeight="1" x14ac:dyDescent="0.4">
      <c r="A69" s="120" t="s">
        <v>87</v>
      </c>
      <c r="B69" s="142">
        <f>(D47*B68)/B56*B57</f>
        <v>260.68190000000004</v>
      </c>
      <c r="C69" s="515"/>
      <c r="D69" s="518"/>
      <c r="E69" s="133">
        <v>2</v>
      </c>
      <c r="F69" s="86">
        <f>7197200+8201757</f>
        <v>15398957</v>
      </c>
      <c r="G69" s="219">
        <f>IF(ISBLANK(F69),"-",(F69/$D$50*$D$47*$B$68)*($B$57/$D$68))</f>
        <v>469.34396977771928</v>
      </c>
      <c r="H69" s="134">
        <f t="shared" si="0"/>
        <v>0.93868793955543861</v>
      </c>
    </row>
    <row r="70" spans="1:8" ht="26.25" customHeight="1" x14ac:dyDescent="0.4">
      <c r="A70" s="520" t="s">
        <v>59</v>
      </c>
      <c r="B70" s="521"/>
      <c r="C70" s="515"/>
      <c r="D70" s="518"/>
      <c r="E70" s="133">
        <v>3</v>
      </c>
      <c r="F70" s="86">
        <f>7204926+8016147</f>
        <v>15221073</v>
      </c>
      <c r="G70" s="219">
        <f>IF(ISBLANK(F70),"-",(F70/$D$50*$D$47*$B$68)*($B$57/$D$68))</f>
        <v>463.9222530523632</v>
      </c>
      <c r="H70" s="134">
        <f t="shared" si="0"/>
        <v>0.92784450610472635</v>
      </c>
    </row>
    <row r="71" spans="1:8" ht="27" customHeight="1" x14ac:dyDescent="0.4">
      <c r="A71" s="522"/>
      <c r="B71" s="523"/>
      <c r="C71" s="516"/>
      <c r="D71" s="519"/>
      <c r="E71" s="136">
        <v>4</v>
      </c>
      <c r="F71" s="137"/>
      <c r="G71" s="220" t="str">
        <f>IF(ISBLANK(F71),"-",(F71/$D$50*$D$47*$B$68)*($B$57/$D$68))</f>
        <v>-</v>
      </c>
      <c r="H71" s="143" t="str">
        <f t="shared" si="0"/>
        <v>-</v>
      </c>
    </row>
    <row r="72" spans="1:8" ht="26.25" customHeight="1" x14ac:dyDescent="0.4">
      <c r="A72" s="144"/>
      <c r="B72" s="144"/>
      <c r="C72" s="144"/>
      <c r="D72" s="144"/>
      <c r="E72" s="144"/>
      <c r="F72" s="145"/>
      <c r="G72" s="146" t="s">
        <v>52</v>
      </c>
      <c r="H72" s="147">
        <f>AVERAGE(H60:H71)</f>
        <v>0.94188511472947278</v>
      </c>
    </row>
    <row r="73" spans="1:8" ht="26.25" customHeight="1" x14ac:dyDescent="0.4">
      <c r="C73" s="144"/>
      <c r="D73" s="144"/>
      <c r="E73" s="144"/>
      <c r="F73" s="145"/>
      <c r="G73" s="148" t="s">
        <v>65</v>
      </c>
      <c r="H73" s="221">
        <f>STDEV(H60:H71)/H72</f>
        <v>1.3846820625010376E-2</v>
      </c>
    </row>
    <row r="74" spans="1:8" ht="27" customHeight="1" x14ac:dyDescent="0.4">
      <c r="A74" s="144"/>
      <c r="B74" s="144"/>
      <c r="C74" s="145"/>
      <c r="D74" s="145"/>
      <c r="E74" s="149"/>
      <c r="F74" s="145"/>
      <c r="G74" s="150" t="s">
        <v>66</v>
      </c>
      <c r="H74" s="151">
        <f>COUNT(H60:H71)</f>
        <v>7</v>
      </c>
    </row>
    <row r="76" spans="1:8" ht="26.25" customHeight="1" x14ac:dyDescent="0.4">
      <c r="A76" s="57" t="s">
        <v>88</v>
      </c>
      <c r="B76" s="152" t="s">
        <v>89</v>
      </c>
      <c r="C76" s="501" t="str">
        <f>B20</f>
        <v>CEFUROXIME</v>
      </c>
      <c r="D76" s="501"/>
      <c r="E76" s="153" t="s">
        <v>90</v>
      </c>
      <c r="F76" s="153"/>
      <c r="G76" s="154">
        <f>H72</f>
        <v>0.94188511472947278</v>
      </c>
      <c r="H76" s="155"/>
    </row>
    <row r="77" spans="1:8" ht="18.75" x14ac:dyDescent="0.3">
      <c r="A77" s="56" t="s">
        <v>91</v>
      </c>
      <c r="B77" s="56" t="s">
        <v>92</v>
      </c>
    </row>
    <row r="78" spans="1:8" ht="18.75" x14ac:dyDescent="0.3">
      <c r="A78" s="56"/>
      <c r="B78" s="56"/>
    </row>
    <row r="79" spans="1:8" ht="26.25" customHeight="1" x14ac:dyDescent="0.4">
      <c r="A79" s="57" t="s">
        <v>27</v>
      </c>
      <c r="B79" s="524" t="str">
        <f>B26</f>
        <v>CEFUROXIME AXETIL</v>
      </c>
      <c r="C79" s="524"/>
    </row>
    <row r="80" spans="1:8" ht="26.25" customHeight="1" x14ac:dyDescent="0.4">
      <c r="A80" s="58" t="s">
        <v>28</v>
      </c>
      <c r="B80" s="524">
        <f>B27</f>
        <v>0</v>
      </c>
      <c r="C80" s="524"/>
    </row>
    <row r="81" spans="1:12" ht="27" customHeight="1" x14ac:dyDescent="0.4">
      <c r="A81" s="58" t="s">
        <v>29</v>
      </c>
      <c r="B81" s="156">
        <f>B28</f>
        <v>82.125</v>
      </c>
    </row>
    <row r="82" spans="1:12" s="15" customFormat="1" ht="27" customHeight="1" x14ac:dyDescent="0.4">
      <c r="A82" s="58" t="s">
        <v>30</v>
      </c>
      <c r="B82" s="60">
        <v>0</v>
      </c>
      <c r="C82" s="503" t="s">
        <v>31</v>
      </c>
      <c r="D82" s="504"/>
      <c r="E82" s="504"/>
      <c r="F82" s="504"/>
      <c r="G82" s="505"/>
      <c r="I82" s="61"/>
      <c r="J82" s="61"/>
      <c r="K82" s="61"/>
      <c r="L82" s="61"/>
    </row>
    <row r="83" spans="1:12" s="15" customFormat="1" ht="19.5" customHeight="1" x14ac:dyDescent="0.3">
      <c r="A83" s="58" t="s">
        <v>32</v>
      </c>
      <c r="B83" s="62">
        <f>B81-B82</f>
        <v>82.125</v>
      </c>
      <c r="C83" s="63"/>
      <c r="D83" s="63"/>
      <c r="E83" s="63"/>
      <c r="F83" s="63"/>
      <c r="G83" s="64"/>
      <c r="I83" s="61"/>
      <c r="J83" s="61"/>
      <c r="K83" s="61"/>
      <c r="L83" s="61"/>
    </row>
    <row r="84" spans="1:12" s="15" customFormat="1" ht="27" customHeight="1" x14ac:dyDescent="0.4">
      <c r="A84" s="58" t="s">
        <v>33</v>
      </c>
      <c r="B84" s="65">
        <v>1</v>
      </c>
      <c r="C84" s="506" t="s">
        <v>93</v>
      </c>
      <c r="D84" s="507"/>
      <c r="E84" s="507"/>
      <c r="F84" s="507"/>
      <c r="G84" s="507"/>
      <c r="H84" s="508"/>
      <c r="I84" s="61"/>
      <c r="J84" s="61"/>
      <c r="K84" s="61"/>
      <c r="L84" s="61"/>
    </row>
    <row r="85" spans="1:12" s="15" customFormat="1" ht="27" customHeight="1" x14ac:dyDescent="0.4">
      <c r="A85" s="58" t="s">
        <v>35</v>
      </c>
      <c r="B85" s="65">
        <v>1</v>
      </c>
      <c r="C85" s="506" t="s">
        <v>94</v>
      </c>
      <c r="D85" s="507"/>
      <c r="E85" s="507"/>
      <c r="F85" s="507"/>
      <c r="G85" s="507"/>
      <c r="H85" s="508"/>
      <c r="I85" s="61"/>
      <c r="J85" s="61"/>
      <c r="K85" s="61"/>
      <c r="L85" s="61"/>
    </row>
    <row r="86" spans="1:12" s="15" customFormat="1" ht="18.75" x14ac:dyDescent="0.3">
      <c r="A86" s="58"/>
      <c r="B86" s="68"/>
      <c r="C86" s="69"/>
      <c r="D86" s="69"/>
      <c r="E86" s="69"/>
      <c r="F86" s="69"/>
      <c r="G86" s="69"/>
      <c r="H86" s="69"/>
      <c r="I86" s="61"/>
      <c r="J86" s="61"/>
      <c r="K86" s="61"/>
      <c r="L86" s="61"/>
    </row>
    <row r="87" spans="1:12" s="15" customFormat="1" ht="18.75" x14ac:dyDescent="0.3">
      <c r="A87" s="58" t="s">
        <v>37</v>
      </c>
      <c r="B87" s="70">
        <f>B84/B85</f>
        <v>1</v>
      </c>
      <c r="C87" s="49" t="s">
        <v>38</v>
      </c>
      <c r="D87" s="49"/>
      <c r="E87" s="49"/>
      <c r="F87" s="49"/>
      <c r="G87" s="49"/>
      <c r="I87" s="61"/>
      <c r="J87" s="61"/>
      <c r="K87" s="61"/>
      <c r="L87" s="61"/>
    </row>
    <row r="88" spans="1:12" ht="19.5" customHeight="1" x14ac:dyDescent="0.3">
      <c r="A88" s="56"/>
      <c r="B88" s="56"/>
    </row>
    <row r="89" spans="1:12" ht="27" customHeight="1" x14ac:dyDescent="0.4">
      <c r="A89" s="71" t="s">
        <v>39</v>
      </c>
      <c r="B89" s="72">
        <v>25</v>
      </c>
      <c r="D89" s="157" t="s">
        <v>40</v>
      </c>
      <c r="E89" s="158"/>
      <c r="F89" s="509" t="s">
        <v>41</v>
      </c>
      <c r="G89" s="510"/>
    </row>
    <row r="90" spans="1:12" ht="27" customHeight="1" x14ac:dyDescent="0.4">
      <c r="A90" s="73" t="s">
        <v>42</v>
      </c>
      <c r="B90" s="74">
        <v>2</v>
      </c>
      <c r="C90" s="159" t="s">
        <v>43</v>
      </c>
      <c r="D90" s="76" t="s">
        <v>44</v>
      </c>
      <c r="E90" s="77" t="s">
        <v>45</v>
      </c>
      <c r="F90" s="76" t="s">
        <v>44</v>
      </c>
      <c r="G90" s="160" t="s">
        <v>45</v>
      </c>
      <c r="I90" s="79" t="s">
        <v>46</v>
      </c>
    </row>
    <row r="91" spans="1:12" ht="26.25" customHeight="1" x14ac:dyDescent="0.4">
      <c r="A91" s="73" t="s">
        <v>47</v>
      </c>
      <c r="B91" s="74">
        <v>100</v>
      </c>
      <c r="C91" s="161">
        <v>1</v>
      </c>
      <c r="D91" s="406">
        <v>0.58899999999999997</v>
      </c>
      <c r="E91" s="82">
        <f>IF(ISBLANK(D91),"-",$D$101/$D$98*D91)</f>
        <v>0.53763072801498779</v>
      </c>
      <c r="F91" s="406">
        <v>0.51800000000000002</v>
      </c>
      <c r="G91" s="83">
        <f>IF(ISBLANK(F91),"-",$D$101/$F$98*F91)</f>
        <v>0.53182615034355663</v>
      </c>
      <c r="I91" s="84"/>
    </row>
    <row r="92" spans="1:12" ht="26.25" customHeight="1" x14ac:dyDescent="0.4">
      <c r="A92" s="73" t="s">
        <v>48</v>
      </c>
      <c r="B92" s="74">
        <v>1</v>
      </c>
      <c r="C92" s="145">
        <v>2</v>
      </c>
      <c r="D92" s="407">
        <v>0.59799999999999998</v>
      </c>
      <c r="E92" s="87">
        <f>IF(ISBLANK(D92),"-",$D$101/$D$98*D92)</f>
        <v>0.54584579856190618</v>
      </c>
      <c r="F92" s="407">
        <v>0.51500000000000001</v>
      </c>
      <c r="G92" s="88">
        <f>IF(ISBLANK(F92),"-",$D$101/$F$98*F92)</f>
        <v>0.52874607611376767</v>
      </c>
      <c r="I92" s="511">
        <f>ABS((F96/D96*D95)-F95)/D95</f>
        <v>2.044233357773648E-2</v>
      </c>
    </row>
    <row r="93" spans="1:12" ht="26.25" customHeight="1" x14ac:dyDescent="0.4">
      <c r="A93" s="73" t="s">
        <v>49</v>
      </c>
      <c r="B93" s="74">
        <v>1</v>
      </c>
      <c r="C93" s="145">
        <v>3</v>
      </c>
      <c r="D93" s="407">
        <v>0.59399999999999997</v>
      </c>
      <c r="E93" s="87">
        <f>IF(ISBLANK(D93),"-",$D$101/$D$98*D93)</f>
        <v>0.54219465609660911</v>
      </c>
      <c r="F93" s="407">
        <v>0.51400000000000001</v>
      </c>
      <c r="G93" s="88">
        <f>IF(ISBLANK(F93),"-",$D$101/$F$98*F93)</f>
        <v>0.52771938470383806</v>
      </c>
      <c r="I93" s="511"/>
    </row>
    <row r="94" spans="1:12" ht="27" customHeight="1" x14ac:dyDescent="0.4">
      <c r="A94" s="73" t="s">
        <v>50</v>
      </c>
      <c r="B94" s="74">
        <v>1</v>
      </c>
      <c r="C94" s="162">
        <v>4</v>
      </c>
      <c r="D94" s="408"/>
      <c r="E94" s="92" t="str">
        <f>IF(ISBLANK(D94),"-",$D$101/$D$98*D94)</f>
        <v>-</v>
      </c>
      <c r="F94" s="410"/>
      <c r="G94" s="93" t="str">
        <f>IF(ISBLANK(F94),"-",$D$101/$F$98*F94)</f>
        <v>-</v>
      </c>
      <c r="I94" s="94"/>
    </row>
    <row r="95" spans="1:12" ht="27" customHeight="1" x14ac:dyDescent="0.4">
      <c r="A95" s="73" t="s">
        <v>51</v>
      </c>
      <c r="B95" s="74">
        <v>1</v>
      </c>
      <c r="C95" s="163" t="s">
        <v>52</v>
      </c>
      <c r="D95" s="164">
        <f>AVERAGE(D91:D94)</f>
        <v>0.59366666666666656</v>
      </c>
      <c r="E95" s="97">
        <f>AVERAGE(E91:E94)</f>
        <v>0.54189039422450103</v>
      </c>
      <c r="F95" s="165">
        <f>AVERAGE(F91:F94)</f>
        <v>0.51566666666666661</v>
      </c>
      <c r="G95" s="166">
        <f>AVERAGE(G91:G94)</f>
        <v>0.52943053705372078</v>
      </c>
    </row>
    <row r="96" spans="1:12" ht="26.25" customHeight="1" x14ac:dyDescent="0.4">
      <c r="A96" s="73" t="s">
        <v>53</v>
      </c>
      <c r="B96" s="59">
        <v>1</v>
      </c>
      <c r="C96" s="167" t="s">
        <v>95</v>
      </c>
      <c r="D96" s="409">
        <v>20.010000000000002</v>
      </c>
      <c r="E96" s="89"/>
      <c r="F96" s="409">
        <v>17.79</v>
      </c>
    </row>
    <row r="97" spans="1:10" ht="26.25" customHeight="1" x14ac:dyDescent="0.4">
      <c r="A97" s="73" t="s">
        <v>55</v>
      </c>
      <c r="B97" s="59">
        <v>1</v>
      </c>
      <c r="C97" s="168" t="s">
        <v>96</v>
      </c>
      <c r="D97" s="169">
        <f>D96*$B$87</f>
        <v>20.010000000000002</v>
      </c>
      <c r="E97" s="103"/>
      <c r="F97" s="102">
        <f>F96*$B$87</f>
        <v>17.79</v>
      </c>
    </row>
    <row r="98" spans="1:10" ht="19.5" customHeight="1" x14ac:dyDescent="0.3">
      <c r="A98" s="73" t="s">
        <v>57</v>
      </c>
      <c r="B98" s="170">
        <f>(B97/B96)*(B95/B94)*(B93/B92)*(B91/B90)*B89</f>
        <v>1250</v>
      </c>
      <c r="C98" s="168" t="s">
        <v>97</v>
      </c>
      <c r="D98" s="171">
        <f>D97*$B$83/100</f>
        <v>16.433212500000003</v>
      </c>
      <c r="E98" s="106"/>
      <c r="F98" s="105">
        <f>F97*$B$83/100</f>
        <v>14.610037499999999</v>
      </c>
    </row>
    <row r="99" spans="1:10" ht="19.5" customHeight="1" x14ac:dyDescent="0.3">
      <c r="A99" s="497" t="s">
        <v>59</v>
      </c>
      <c r="B99" s="512"/>
      <c r="C99" s="168" t="s">
        <v>98</v>
      </c>
      <c r="D99" s="172">
        <f>D98/$B$98</f>
        <v>1.3146570000000003E-2</v>
      </c>
      <c r="E99" s="106"/>
      <c r="F99" s="109">
        <f>F98/$B$98</f>
        <v>1.1688029999999999E-2</v>
      </c>
      <c r="G99" s="173"/>
      <c r="H99" s="99"/>
    </row>
    <row r="100" spans="1:10" ht="19.5" customHeight="1" x14ac:dyDescent="0.3">
      <c r="A100" s="499"/>
      <c r="B100" s="513"/>
      <c r="C100" s="168" t="s">
        <v>61</v>
      </c>
      <c r="D100" s="174">
        <v>1.2E-2</v>
      </c>
      <c r="F100" s="114"/>
      <c r="G100" s="175"/>
      <c r="H100" s="99"/>
    </row>
    <row r="101" spans="1:10" ht="18.75" x14ac:dyDescent="0.3">
      <c r="C101" s="168" t="s">
        <v>62</v>
      </c>
      <c r="D101" s="169">
        <f>D100*$B$98</f>
        <v>15</v>
      </c>
      <c r="F101" s="114"/>
      <c r="G101" s="173"/>
      <c r="H101" s="99"/>
    </row>
    <row r="102" spans="1:10" ht="19.5" customHeight="1" x14ac:dyDescent="0.3">
      <c r="C102" s="176" t="s">
        <v>63</v>
      </c>
      <c r="D102" s="177">
        <f>D101/B34</f>
        <v>15</v>
      </c>
      <c r="F102" s="118"/>
      <c r="G102" s="173"/>
      <c r="H102" s="99"/>
      <c r="J102" s="178"/>
    </row>
    <row r="103" spans="1:10" ht="18.75" x14ac:dyDescent="0.3">
      <c r="C103" s="179" t="s">
        <v>99</v>
      </c>
      <c r="D103" s="180">
        <f>AVERAGE(E91:E94,G91:G94)</f>
        <v>0.53566046563911085</v>
      </c>
      <c r="F103" s="118"/>
      <c r="G103" s="181"/>
      <c r="H103" s="99"/>
      <c r="J103" s="182"/>
    </row>
    <row r="104" spans="1:10" ht="18.75" x14ac:dyDescent="0.3">
      <c r="C104" s="148" t="s">
        <v>65</v>
      </c>
      <c r="D104" s="183">
        <f>STDEV(E91:E94,G91:G94)/D103</f>
        <v>1.386734971889661E-2</v>
      </c>
      <c r="F104" s="118"/>
      <c r="G104" s="173"/>
      <c r="H104" s="99"/>
      <c r="J104" s="182"/>
    </row>
    <row r="105" spans="1:10" ht="19.5" customHeight="1" x14ac:dyDescent="0.3">
      <c r="C105" s="150" t="s">
        <v>66</v>
      </c>
      <c r="D105" s="184">
        <f>COUNT(E91:E94,G91:G94)</f>
        <v>6</v>
      </c>
      <c r="F105" s="118"/>
      <c r="G105" s="173"/>
      <c r="H105" s="99"/>
      <c r="J105" s="182"/>
    </row>
    <row r="106" spans="1:10" ht="19.5" customHeight="1" x14ac:dyDescent="0.3">
      <c r="A106" s="122"/>
      <c r="B106" s="122"/>
      <c r="C106" s="122"/>
      <c r="D106" s="122"/>
      <c r="E106" s="122"/>
    </row>
    <row r="107" spans="1:10" ht="26.25" customHeight="1" x14ac:dyDescent="0.4">
      <c r="A107" s="71" t="s">
        <v>100</v>
      </c>
      <c r="B107" s="72">
        <v>900</v>
      </c>
      <c r="C107" s="185" t="s">
        <v>101</v>
      </c>
      <c r="D107" s="186" t="s">
        <v>44</v>
      </c>
      <c r="E107" s="187" t="s">
        <v>102</v>
      </c>
      <c r="F107" s="188" t="s">
        <v>103</v>
      </c>
    </row>
    <row r="108" spans="1:10" ht="26.25" customHeight="1" x14ac:dyDescent="0.4">
      <c r="A108" s="73" t="s">
        <v>104</v>
      </c>
      <c r="B108" s="74">
        <v>2</v>
      </c>
      <c r="C108" s="189">
        <v>1</v>
      </c>
      <c r="D108" s="411">
        <v>0.47599999999999998</v>
      </c>
      <c r="E108" s="222">
        <f t="shared" ref="E108:E113" si="1">IF(ISBLANK(D108),"-",D108/$D$103*$D$100*$B$116)</f>
        <v>479.85620834145124</v>
      </c>
      <c r="F108" s="190">
        <f t="shared" ref="F108:F112" si="2">IF(ISBLANK(D108), "-", E108/$B$56)</f>
        <v>0.95971241668290252</v>
      </c>
    </row>
    <row r="109" spans="1:10" ht="26.25" customHeight="1" x14ac:dyDescent="0.4">
      <c r="A109" s="73" t="s">
        <v>77</v>
      </c>
      <c r="B109" s="74">
        <v>100</v>
      </c>
      <c r="C109" s="189">
        <v>2</v>
      </c>
      <c r="D109" s="411">
        <v>0.498</v>
      </c>
      <c r="E109" s="223">
        <f t="shared" si="1"/>
        <v>502.034436458073</v>
      </c>
      <c r="F109" s="191">
        <f t="shared" si="2"/>
        <v>1.004068872916146</v>
      </c>
    </row>
    <row r="110" spans="1:10" ht="26.25" customHeight="1" x14ac:dyDescent="0.4">
      <c r="A110" s="73" t="s">
        <v>78</v>
      </c>
      <c r="B110" s="74">
        <v>1</v>
      </c>
      <c r="C110" s="189">
        <v>3</v>
      </c>
      <c r="D110" s="411">
        <v>0.48499999999999999</v>
      </c>
      <c r="E110" s="223">
        <f t="shared" si="1"/>
        <v>488.92911984370562</v>
      </c>
      <c r="F110" s="191">
        <f t="shared" si="2"/>
        <v>0.97785823968741126</v>
      </c>
    </row>
    <row r="111" spans="1:10" ht="26.25" customHeight="1" x14ac:dyDescent="0.4">
      <c r="A111" s="73" t="s">
        <v>79</v>
      </c>
      <c r="B111" s="74">
        <v>1</v>
      </c>
      <c r="C111" s="189">
        <v>4</v>
      </c>
      <c r="D111" s="411">
        <v>0.48099999999999998</v>
      </c>
      <c r="E111" s="223">
        <f t="shared" si="1"/>
        <v>484.89671473159262</v>
      </c>
      <c r="F111" s="191">
        <f t="shared" si="2"/>
        <v>0.96979342946318525</v>
      </c>
    </row>
    <row r="112" spans="1:10" ht="26.25" customHeight="1" x14ac:dyDescent="0.4">
      <c r="A112" s="73" t="s">
        <v>80</v>
      </c>
      <c r="B112" s="74">
        <v>1</v>
      </c>
      <c r="C112" s="189">
        <v>5</v>
      </c>
      <c r="D112" s="411">
        <v>0.47299999999999998</v>
      </c>
      <c r="E112" s="223">
        <f t="shared" si="1"/>
        <v>476.83190450736652</v>
      </c>
      <c r="F112" s="191">
        <f t="shared" si="2"/>
        <v>0.95366380901473302</v>
      </c>
    </row>
    <row r="113" spans="1:10" ht="26.25" customHeight="1" x14ac:dyDescent="0.4">
      <c r="A113" s="73" t="s">
        <v>82</v>
      </c>
      <c r="B113" s="74">
        <v>1</v>
      </c>
      <c r="C113" s="192">
        <v>6</v>
      </c>
      <c r="D113" s="412">
        <v>0.499</v>
      </c>
      <c r="E113" s="224">
        <f t="shared" si="1"/>
        <v>503.04253773610134</v>
      </c>
      <c r="F113" s="193">
        <f>IF(ISBLANK(D113), "-", E113/$B$56)</f>
        <v>1.0060850754722026</v>
      </c>
    </row>
    <row r="114" spans="1:10" ht="26.25" customHeight="1" x14ac:dyDescent="0.4">
      <c r="A114" s="73" t="s">
        <v>83</v>
      </c>
      <c r="B114" s="74">
        <v>1</v>
      </c>
      <c r="C114" s="189"/>
      <c r="D114" s="145"/>
      <c r="E114" s="48"/>
      <c r="F114" s="194"/>
    </row>
    <row r="115" spans="1:10" ht="26.25" customHeight="1" x14ac:dyDescent="0.4">
      <c r="A115" s="73" t="s">
        <v>84</v>
      </c>
      <c r="B115" s="74">
        <v>1</v>
      </c>
      <c r="C115" s="189"/>
      <c r="D115" s="195"/>
      <c r="E115" s="196" t="s">
        <v>52</v>
      </c>
      <c r="F115" s="197">
        <f>AVERAGE(F108:F113)</f>
        <v>0.97853030720609668</v>
      </c>
    </row>
    <row r="116" spans="1:10" ht="27" customHeight="1" x14ac:dyDescent="0.4">
      <c r="A116" s="73" t="s">
        <v>85</v>
      </c>
      <c r="B116" s="104">
        <f>(B115/B114)*(B113/B112)*(B111/B110)*(B109/B108)*B107</f>
        <v>45000</v>
      </c>
      <c r="C116" s="198"/>
      <c r="D116" s="199"/>
      <c r="E116" s="163" t="s">
        <v>65</v>
      </c>
      <c r="F116" s="535">
        <f>STDEV(F108:F113)/F115</f>
        <v>2.2671078061294279E-2</v>
      </c>
      <c r="I116" s="48"/>
    </row>
    <row r="117" spans="1:10" ht="27" customHeight="1" x14ac:dyDescent="0.4">
      <c r="A117" s="497" t="s">
        <v>59</v>
      </c>
      <c r="B117" s="498"/>
      <c r="C117" s="200"/>
      <c r="D117" s="201"/>
      <c r="E117" s="202" t="s">
        <v>66</v>
      </c>
      <c r="F117" s="203">
        <f>COUNT(F108:F113)</f>
        <v>6</v>
      </c>
      <c r="I117" s="48"/>
      <c r="J117" s="182"/>
    </row>
    <row r="118" spans="1:10" ht="19.5" customHeight="1" x14ac:dyDescent="0.3">
      <c r="A118" s="499"/>
      <c r="B118" s="500"/>
      <c r="C118" s="48"/>
      <c r="D118" s="48"/>
      <c r="E118" s="48"/>
      <c r="F118" s="145"/>
      <c r="G118" s="48"/>
      <c r="H118" s="48"/>
      <c r="I118" s="48"/>
    </row>
    <row r="119" spans="1:10" ht="18.75" x14ac:dyDescent="0.3">
      <c r="A119" s="212"/>
      <c r="B119" s="69"/>
      <c r="C119" s="48"/>
      <c r="D119" s="48"/>
      <c r="E119" s="48"/>
      <c r="F119" s="145"/>
      <c r="G119" s="48"/>
      <c r="H119" s="48"/>
      <c r="I119" s="48"/>
    </row>
    <row r="120" spans="1:10" ht="26.25" customHeight="1" x14ac:dyDescent="0.4">
      <c r="A120" s="57" t="s">
        <v>88</v>
      </c>
      <c r="B120" s="152" t="s">
        <v>105</v>
      </c>
      <c r="C120" s="501" t="str">
        <f>B20</f>
        <v>CEFUROXIME</v>
      </c>
      <c r="D120" s="501"/>
      <c r="E120" s="153" t="s">
        <v>106</v>
      </c>
      <c r="F120" s="153"/>
      <c r="G120" s="154">
        <f>F115</f>
        <v>0.97853030720609668</v>
      </c>
      <c r="H120" s="48"/>
      <c r="I120" s="48"/>
    </row>
    <row r="121" spans="1:10" ht="19.5" customHeight="1" x14ac:dyDescent="0.3">
      <c r="A121" s="204"/>
      <c r="B121" s="204"/>
      <c r="C121" s="205"/>
      <c r="D121" s="205"/>
      <c r="E121" s="205"/>
      <c r="F121" s="205"/>
      <c r="G121" s="205"/>
      <c r="H121" s="205"/>
    </row>
    <row r="122" spans="1:10" ht="18.75" x14ac:dyDescent="0.3">
      <c r="B122" s="502" t="s">
        <v>19</v>
      </c>
      <c r="C122" s="502"/>
      <c r="E122" s="159" t="s">
        <v>20</v>
      </c>
      <c r="F122" s="206"/>
      <c r="G122" s="502" t="s">
        <v>21</v>
      </c>
      <c r="H122" s="502"/>
    </row>
    <row r="123" spans="1:10" ht="69.95" customHeight="1" x14ac:dyDescent="0.3">
      <c r="A123" s="207" t="s">
        <v>22</v>
      </c>
      <c r="B123" s="482" t="s">
        <v>135</v>
      </c>
      <c r="C123" s="208"/>
      <c r="E123" s="208"/>
      <c r="F123" s="48"/>
      <c r="G123" s="209"/>
      <c r="H123" s="209"/>
    </row>
    <row r="124" spans="1:10" ht="69.95" customHeight="1" x14ac:dyDescent="0.3">
      <c r="A124" s="207" t="s">
        <v>23</v>
      </c>
      <c r="B124" s="210"/>
      <c r="C124" s="210"/>
      <c r="E124" s="210"/>
      <c r="F124" s="48"/>
      <c r="G124" s="211"/>
      <c r="H124" s="211"/>
    </row>
    <row r="125" spans="1:10" ht="18.75" x14ac:dyDescent="0.3">
      <c r="A125" s="144"/>
      <c r="B125" s="144"/>
      <c r="C125" s="145"/>
      <c r="D125" s="145"/>
      <c r="E125" s="145"/>
      <c r="F125" s="149"/>
      <c r="G125" s="145"/>
      <c r="H125" s="145"/>
      <c r="I125" s="48"/>
    </row>
    <row r="126" spans="1:10" ht="18.75" x14ac:dyDescent="0.3">
      <c r="A126" s="144"/>
      <c r="B126" s="144"/>
      <c r="C126" s="145"/>
      <c r="D126" s="145"/>
      <c r="E126" s="145"/>
      <c r="F126" s="149"/>
      <c r="G126" s="145"/>
      <c r="H126" s="145"/>
      <c r="I126" s="48"/>
    </row>
    <row r="127" spans="1:10" ht="18.75" x14ac:dyDescent="0.3">
      <c r="A127" s="144"/>
      <c r="B127" s="144"/>
      <c r="C127" s="145"/>
      <c r="D127" s="145"/>
      <c r="E127" s="145"/>
      <c r="F127" s="149"/>
      <c r="G127" s="145"/>
      <c r="H127" s="145"/>
      <c r="I127" s="48"/>
    </row>
    <row r="128" spans="1:10" ht="18.75" x14ac:dyDescent="0.3">
      <c r="A128" s="144"/>
      <c r="B128" s="144"/>
      <c r="C128" s="145"/>
      <c r="D128" s="145"/>
      <c r="E128" s="145"/>
      <c r="F128" s="149"/>
      <c r="G128" s="145"/>
      <c r="H128" s="145"/>
      <c r="I128" s="48"/>
    </row>
    <row r="129" spans="1:9" ht="18.75" x14ac:dyDescent="0.3">
      <c r="A129" s="144"/>
      <c r="B129" s="144"/>
      <c r="C129" s="145"/>
      <c r="D129" s="145"/>
      <c r="E129" s="145"/>
      <c r="F129" s="149"/>
      <c r="G129" s="145"/>
      <c r="H129" s="145"/>
      <c r="I129" s="48"/>
    </row>
    <row r="130" spans="1:9" ht="18.75" x14ac:dyDescent="0.3">
      <c r="A130" s="144"/>
      <c r="B130" s="144"/>
      <c r="C130" s="145"/>
      <c r="D130" s="145"/>
      <c r="E130" s="145"/>
      <c r="F130" s="149"/>
      <c r="G130" s="145"/>
      <c r="H130" s="145"/>
      <c r="I130" s="48"/>
    </row>
    <row r="131" spans="1:9" ht="18.75" x14ac:dyDescent="0.3">
      <c r="A131" s="144"/>
      <c r="B131" s="144"/>
      <c r="C131" s="145"/>
      <c r="D131" s="145"/>
      <c r="E131" s="145"/>
      <c r="F131" s="149"/>
      <c r="G131" s="145"/>
      <c r="H131" s="145"/>
      <c r="I131" s="48"/>
    </row>
    <row r="132" spans="1:9" ht="18.75" x14ac:dyDescent="0.3">
      <c r="A132" s="144"/>
      <c r="B132" s="144"/>
      <c r="C132" s="145"/>
      <c r="D132" s="145"/>
      <c r="E132" s="145"/>
      <c r="F132" s="149"/>
      <c r="G132" s="145"/>
      <c r="H132" s="145"/>
      <c r="I132" s="48"/>
    </row>
    <row r="133" spans="1:9" ht="18.75" x14ac:dyDescent="0.3">
      <c r="A133" s="144"/>
      <c r="B133" s="144"/>
      <c r="C133" s="145"/>
      <c r="D133" s="145"/>
      <c r="E133" s="145"/>
      <c r="F133" s="149"/>
      <c r="G133" s="145"/>
      <c r="H133" s="145"/>
      <c r="I133" s="48"/>
    </row>
    <row r="250" spans="1:1" x14ac:dyDescent="0.25">
      <c r="A250" s="2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15" priority="1" operator="greaterThan">
      <formula>0.02</formula>
    </cfRule>
  </conditionalFormatting>
  <conditionalFormatting sqref="D51">
    <cfRule type="cellIs" dxfId="14" priority="2" operator="greaterThan">
      <formula>0.02</formula>
    </cfRule>
  </conditionalFormatting>
  <conditionalFormatting sqref="H73">
    <cfRule type="cellIs" dxfId="13" priority="3" operator="greaterThan">
      <formula>0.02</formula>
    </cfRule>
  </conditionalFormatting>
  <conditionalFormatting sqref="D104">
    <cfRule type="cellIs" dxfId="12" priority="4" operator="greaterThan">
      <formula>0.02</formula>
    </cfRule>
  </conditionalFormatting>
  <conditionalFormatting sqref="I39">
    <cfRule type="cellIs" dxfId="11" priority="5" operator="lessThanOrEqual">
      <formula>0.02</formula>
    </cfRule>
  </conditionalFormatting>
  <conditionalFormatting sqref="I39">
    <cfRule type="cellIs" dxfId="10" priority="6" operator="greaterThan">
      <formula>0.02</formula>
    </cfRule>
  </conditionalFormatting>
  <conditionalFormatting sqref="I92">
    <cfRule type="cellIs" dxfId="9" priority="7" operator="lessThanOrEqual">
      <formula>0.02</formula>
    </cfRule>
  </conditionalFormatting>
  <conditionalFormatting sqref="I92">
    <cfRule type="cellIs" dxfId="8" priority="8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2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B103" zoomScale="50" zoomScaleNormal="40" zoomScalePageLayoutView="50" workbookViewId="0">
      <selection activeCell="F116" sqref="F116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95" t="s">
        <v>24</v>
      </c>
      <c r="B1" s="495"/>
      <c r="C1" s="495"/>
      <c r="D1" s="495"/>
      <c r="E1" s="495"/>
      <c r="F1" s="495"/>
      <c r="G1" s="495"/>
      <c r="H1" s="495"/>
      <c r="I1" s="495"/>
    </row>
    <row r="2" spans="1:9" ht="18.75" customHeight="1" x14ac:dyDescent="0.25">
      <c r="A2" s="495"/>
      <c r="B2" s="495"/>
      <c r="C2" s="495"/>
      <c r="D2" s="495"/>
      <c r="E2" s="495"/>
      <c r="F2" s="495"/>
      <c r="G2" s="495"/>
      <c r="H2" s="495"/>
      <c r="I2" s="495"/>
    </row>
    <row r="3" spans="1:9" ht="18.75" customHeight="1" x14ac:dyDescent="0.25">
      <c r="A3" s="495"/>
      <c r="B3" s="495"/>
      <c r="C3" s="495"/>
      <c r="D3" s="495"/>
      <c r="E3" s="495"/>
      <c r="F3" s="495"/>
      <c r="G3" s="495"/>
      <c r="H3" s="495"/>
      <c r="I3" s="495"/>
    </row>
    <row r="4" spans="1:9" ht="18.75" customHeight="1" x14ac:dyDescent="0.25">
      <c r="A4" s="495"/>
      <c r="B4" s="495"/>
      <c r="C4" s="495"/>
      <c r="D4" s="495"/>
      <c r="E4" s="495"/>
      <c r="F4" s="495"/>
      <c r="G4" s="495"/>
      <c r="H4" s="495"/>
      <c r="I4" s="495"/>
    </row>
    <row r="5" spans="1:9" ht="18.75" customHeight="1" x14ac:dyDescent="0.25">
      <c r="A5" s="495"/>
      <c r="B5" s="495"/>
      <c r="C5" s="495"/>
      <c r="D5" s="495"/>
      <c r="E5" s="495"/>
      <c r="F5" s="495"/>
      <c r="G5" s="495"/>
      <c r="H5" s="495"/>
      <c r="I5" s="495"/>
    </row>
    <row r="6" spans="1:9" ht="18.75" customHeight="1" x14ac:dyDescent="0.25">
      <c r="A6" s="495"/>
      <c r="B6" s="495"/>
      <c r="C6" s="495"/>
      <c r="D6" s="495"/>
      <c r="E6" s="495"/>
      <c r="F6" s="495"/>
      <c r="G6" s="495"/>
      <c r="H6" s="495"/>
      <c r="I6" s="495"/>
    </row>
    <row r="7" spans="1:9" ht="18.75" customHeight="1" x14ac:dyDescent="0.25">
      <c r="A7" s="495"/>
      <c r="B7" s="495"/>
      <c r="C7" s="495"/>
      <c r="D7" s="495"/>
      <c r="E7" s="495"/>
      <c r="F7" s="495"/>
      <c r="G7" s="495"/>
      <c r="H7" s="495"/>
      <c r="I7" s="495"/>
    </row>
    <row r="8" spans="1:9" x14ac:dyDescent="0.25">
      <c r="A8" s="496" t="s">
        <v>25</v>
      </c>
      <c r="B8" s="496"/>
      <c r="C8" s="496"/>
      <c r="D8" s="496"/>
      <c r="E8" s="496"/>
      <c r="F8" s="496"/>
      <c r="G8" s="496"/>
      <c r="H8" s="496"/>
      <c r="I8" s="496"/>
    </row>
    <row r="9" spans="1:9" x14ac:dyDescent="0.25">
      <c r="A9" s="496"/>
      <c r="B9" s="496"/>
      <c r="C9" s="496"/>
      <c r="D9" s="496"/>
      <c r="E9" s="496"/>
      <c r="F9" s="496"/>
      <c r="G9" s="496"/>
      <c r="H9" s="496"/>
      <c r="I9" s="496"/>
    </row>
    <row r="10" spans="1:9" x14ac:dyDescent="0.25">
      <c r="A10" s="496"/>
      <c r="B10" s="496"/>
      <c r="C10" s="496"/>
      <c r="D10" s="496"/>
      <c r="E10" s="496"/>
      <c r="F10" s="496"/>
      <c r="G10" s="496"/>
      <c r="H10" s="496"/>
      <c r="I10" s="496"/>
    </row>
    <row r="11" spans="1:9" x14ac:dyDescent="0.25">
      <c r="A11" s="496"/>
      <c r="B11" s="496"/>
      <c r="C11" s="496"/>
      <c r="D11" s="496"/>
      <c r="E11" s="496"/>
      <c r="F11" s="496"/>
      <c r="G11" s="496"/>
      <c r="H11" s="496"/>
      <c r="I11" s="496"/>
    </row>
    <row r="12" spans="1:9" x14ac:dyDescent="0.25">
      <c r="A12" s="496"/>
      <c r="B12" s="496"/>
      <c r="C12" s="496"/>
      <c r="D12" s="496"/>
      <c r="E12" s="496"/>
      <c r="F12" s="496"/>
      <c r="G12" s="496"/>
      <c r="H12" s="496"/>
      <c r="I12" s="496"/>
    </row>
    <row r="13" spans="1:9" x14ac:dyDescent="0.25">
      <c r="A13" s="496"/>
      <c r="B13" s="496"/>
      <c r="C13" s="496"/>
      <c r="D13" s="496"/>
      <c r="E13" s="496"/>
      <c r="F13" s="496"/>
      <c r="G13" s="496"/>
      <c r="H13" s="496"/>
      <c r="I13" s="496"/>
    </row>
    <row r="14" spans="1:9" x14ac:dyDescent="0.25">
      <c r="A14" s="496"/>
      <c r="B14" s="496"/>
      <c r="C14" s="496"/>
      <c r="D14" s="496"/>
      <c r="E14" s="496"/>
      <c r="F14" s="496"/>
      <c r="G14" s="496"/>
      <c r="H14" s="496"/>
      <c r="I14" s="496"/>
    </row>
    <row r="15" spans="1:9" ht="19.5" customHeight="1" x14ac:dyDescent="0.3">
      <c r="A15" s="225"/>
    </row>
    <row r="16" spans="1:9" ht="19.5" customHeight="1" x14ac:dyDescent="0.3">
      <c r="A16" s="529" t="s">
        <v>0</v>
      </c>
      <c r="B16" s="530"/>
      <c r="C16" s="530"/>
      <c r="D16" s="530"/>
      <c r="E16" s="530"/>
      <c r="F16" s="530"/>
      <c r="G16" s="530"/>
      <c r="H16" s="531"/>
    </row>
    <row r="17" spans="1:14" ht="20.25" customHeight="1" x14ac:dyDescent="0.25">
      <c r="A17" s="532" t="s">
        <v>26</v>
      </c>
      <c r="B17" s="532"/>
      <c r="C17" s="532"/>
      <c r="D17" s="532"/>
      <c r="E17" s="532"/>
      <c r="F17" s="532"/>
      <c r="G17" s="532"/>
      <c r="H17" s="532"/>
    </row>
    <row r="18" spans="1:14" ht="26.25" customHeight="1" x14ac:dyDescent="0.4">
      <c r="A18" s="227" t="s">
        <v>2</v>
      </c>
      <c r="B18" s="534" t="s">
        <v>111</v>
      </c>
      <c r="C18" s="534"/>
      <c r="D18" s="393"/>
      <c r="E18" s="228"/>
      <c r="F18" s="229"/>
      <c r="G18" s="229"/>
      <c r="H18" s="229"/>
    </row>
    <row r="19" spans="1:14" ht="26.25" customHeight="1" x14ac:dyDescent="0.4">
      <c r="A19" s="227" t="s">
        <v>4</v>
      </c>
      <c r="B19" s="413" t="s">
        <v>5</v>
      </c>
      <c r="C19" s="395">
        <v>1</v>
      </c>
      <c r="D19" s="229"/>
      <c r="E19" s="229"/>
      <c r="F19" s="229"/>
      <c r="G19" s="229"/>
      <c r="H19" s="229"/>
    </row>
    <row r="20" spans="1:14" ht="26.25" customHeight="1" x14ac:dyDescent="0.4">
      <c r="A20" s="227" t="s">
        <v>6</v>
      </c>
      <c r="B20" s="533" t="s">
        <v>112</v>
      </c>
      <c r="C20" s="533"/>
      <c r="D20" s="229"/>
      <c r="E20" s="229"/>
      <c r="F20" s="229"/>
      <c r="G20" s="229"/>
      <c r="H20" s="229"/>
    </row>
    <row r="21" spans="1:14" ht="26.25" customHeight="1" x14ac:dyDescent="0.4">
      <c r="A21" s="227" t="s">
        <v>8</v>
      </c>
      <c r="B21" s="533" t="s">
        <v>109</v>
      </c>
      <c r="C21" s="533"/>
      <c r="D21" s="533"/>
      <c r="E21" s="533"/>
      <c r="F21" s="533"/>
      <c r="G21" s="533"/>
      <c r="H21" s="533"/>
      <c r="I21" s="230"/>
    </row>
    <row r="22" spans="1:14" ht="26.25" customHeight="1" x14ac:dyDescent="0.4">
      <c r="A22" s="227" t="s">
        <v>9</v>
      </c>
      <c r="B22" s="231"/>
      <c r="C22" s="229"/>
      <c r="D22" s="229"/>
      <c r="E22" s="229"/>
      <c r="F22" s="229"/>
      <c r="G22" s="229"/>
      <c r="H22" s="229"/>
    </row>
    <row r="23" spans="1:14" ht="26.25" customHeight="1" x14ac:dyDescent="0.4">
      <c r="A23" s="227" t="s">
        <v>11</v>
      </c>
      <c r="B23" s="231"/>
      <c r="C23" s="229"/>
      <c r="D23" s="229"/>
      <c r="E23" s="229"/>
      <c r="F23" s="229"/>
      <c r="G23" s="229"/>
      <c r="H23" s="229"/>
    </row>
    <row r="24" spans="1:14" ht="18.75" x14ac:dyDescent="0.3">
      <c r="A24" s="227"/>
      <c r="B24" s="232"/>
    </row>
    <row r="25" spans="1:14" ht="18.75" x14ac:dyDescent="0.3">
      <c r="A25" s="233" t="s">
        <v>12</v>
      </c>
      <c r="B25" s="232"/>
    </row>
    <row r="26" spans="1:14" ht="26.25" customHeight="1" x14ac:dyDescent="0.4">
      <c r="A26" s="234" t="s">
        <v>27</v>
      </c>
      <c r="B26" s="528"/>
      <c r="C26" s="528"/>
    </row>
    <row r="27" spans="1:14" ht="26.25" customHeight="1" x14ac:dyDescent="0.4">
      <c r="A27" s="235" t="s">
        <v>28</v>
      </c>
      <c r="B27" s="526"/>
      <c r="C27" s="526"/>
    </row>
    <row r="28" spans="1:14" ht="27" customHeight="1" x14ac:dyDescent="0.4">
      <c r="A28" s="235" t="s">
        <v>29</v>
      </c>
      <c r="B28" s="236">
        <v>96.4</v>
      </c>
    </row>
    <row r="29" spans="1:14" s="15" customFormat="1" ht="27" customHeight="1" x14ac:dyDescent="0.4">
      <c r="A29" s="235" t="s">
        <v>30</v>
      </c>
      <c r="B29" s="237">
        <v>0</v>
      </c>
      <c r="C29" s="503" t="s">
        <v>31</v>
      </c>
      <c r="D29" s="504"/>
      <c r="E29" s="504"/>
      <c r="F29" s="504"/>
      <c r="G29" s="505"/>
      <c r="I29" s="238"/>
      <c r="J29" s="238"/>
      <c r="K29" s="238"/>
      <c r="L29" s="238"/>
    </row>
    <row r="30" spans="1:14" s="15" customFormat="1" ht="19.5" customHeight="1" x14ac:dyDescent="0.3">
      <c r="A30" s="235" t="s">
        <v>32</v>
      </c>
      <c r="B30" s="239">
        <f>B28-B29</f>
        <v>96.4</v>
      </c>
      <c r="C30" s="240"/>
      <c r="D30" s="240"/>
      <c r="E30" s="240"/>
      <c r="F30" s="240"/>
      <c r="G30" s="241"/>
      <c r="I30" s="238"/>
      <c r="J30" s="238"/>
      <c r="K30" s="238"/>
      <c r="L30" s="238"/>
    </row>
    <row r="31" spans="1:14" s="15" customFormat="1" ht="27" customHeight="1" x14ac:dyDescent="0.4">
      <c r="A31" s="235" t="s">
        <v>33</v>
      </c>
      <c r="B31" s="242">
        <v>1</v>
      </c>
      <c r="C31" s="506" t="s">
        <v>34</v>
      </c>
      <c r="D31" s="507"/>
      <c r="E31" s="507"/>
      <c r="F31" s="507"/>
      <c r="G31" s="507"/>
      <c r="H31" s="508"/>
      <c r="I31" s="238"/>
      <c r="J31" s="238"/>
      <c r="K31" s="238"/>
      <c r="L31" s="238"/>
    </row>
    <row r="32" spans="1:14" s="15" customFormat="1" ht="27" customHeight="1" x14ac:dyDescent="0.4">
      <c r="A32" s="235" t="s">
        <v>35</v>
      </c>
      <c r="B32" s="242">
        <v>1</v>
      </c>
      <c r="C32" s="506" t="s">
        <v>36</v>
      </c>
      <c r="D32" s="507"/>
      <c r="E32" s="507"/>
      <c r="F32" s="507"/>
      <c r="G32" s="507"/>
      <c r="H32" s="508"/>
      <c r="I32" s="238"/>
      <c r="J32" s="238"/>
      <c r="K32" s="238"/>
      <c r="L32" s="243"/>
      <c r="M32" s="243"/>
      <c r="N32" s="244"/>
    </row>
    <row r="33" spans="1:14" s="15" customFormat="1" ht="17.25" customHeight="1" x14ac:dyDescent="0.3">
      <c r="A33" s="235"/>
      <c r="B33" s="245"/>
      <c r="C33" s="246"/>
      <c r="D33" s="246"/>
      <c r="E33" s="246"/>
      <c r="F33" s="246"/>
      <c r="G33" s="246"/>
      <c r="H33" s="246"/>
      <c r="I33" s="238"/>
      <c r="J33" s="238"/>
      <c r="K33" s="238"/>
      <c r="L33" s="243"/>
      <c r="M33" s="243"/>
      <c r="N33" s="244"/>
    </row>
    <row r="34" spans="1:14" s="15" customFormat="1" ht="18.75" x14ac:dyDescent="0.3">
      <c r="A34" s="235" t="s">
        <v>37</v>
      </c>
      <c r="B34" s="247">
        <f>B31/B32</f>
        <v>1</v>
      </c>
      <c r="C34" s="226" t="s">
        <v>38</v>
      </c>
      <c r="D34" s="226"/>
      <c r="E34" s="226"/>
      <c r="F34" s="226"/>
      <c r="G34" s="226"/>
      <c r="I34" s="238"/>
      <c r="J34" s="238"/>
      <c r="K34" s="238"/>
      <c r="L34" s="243"/>
      <c r="M34" s="243"/>
      <c r="N34" s="244"/>
    </row>
    <row r="35" spans="1:14" s="15" customFormat="1" ht="19.5" customHeight="1" x14ac:dyDescent="0.3">
      <c r="A35" s="235"/>
      <c r="B35" s="239"/>
      <c r="G35" s="226"/>
      <c r="I35" s="238"/>
      <c r="J35" s="238"/>
      <c r="K35" s="238"/>
      <c r="L35" s="243"/>
      <c r="M35" s="243"/>
      <c r="N35" s="244"/>
    </row>
    <row r="36" spans="1:14" s="15" customFormat="1" ht="27" customHeight="1" x14ac:dyDescent="0.4">
      <c r="A36" s="248" t="s">
        <v>39</v>
      </c>
      <c r="B36" s="249">
        <v>25</v>
      </c>
      <c r="C36" s="226"/>
      <c r="D36" s="509" t="s">
        <v>40</v>
      </c>
      <c r="E36" s="527"/>
      <c r="F36" s="509" t="s">
        <v>41</v>
      </c>
      <c r="G36" s="510"/>
      <c r="J36" s="238"/>
      <c r="K36" s="238"/>
      <c r="L36" s="243"/>
      <c r="M36" s="243"/>
      <c r="N36" s="244"/>
    </row>
    <row r="37" spans="1:14" s="15" customFormat="1" ht="27" customHeight="1" x14ac:dyDescent="0.4">
      <c r="A37" s="250" t="s">
        <v>42</v>
      </c>
      <c r="B37" s="251">
        <v>2</v>
      </c>
      <c r="C37" s="252" t="s">
        <v>43</v>
      </c>
      <c r="D37" s="253" t="s">
        <v>44</v>
      </c>
      <c r="E37" s="254" t="s">
        <v>45</v>
      </c>
      <c r="F37" s="253" t="s">
        <v>44</v>
      </c>
      <c r="G37" s="255" t="s">
        <v>45</v>
      </c>
      <c r="I37" s="256" t="s">
        <v>46</v>
      </c>
      <c r="J37" s="238"/>
      <c r="K37" s="238"/>
      <c r="L37" s="243"/>
      <c r="M37" s="243"/>
      <c r="N37" s="244"/>
    </row>
    <row r="38" spans="1:14" s="15" customFormat="1" ht="26.25" customHeight="1" x14ac:dyDescent="0.4">
      <c r="A38" s="250" t="s">
        <v>47</v>
      </c>
      <c r="B38" s="251">
        <v>100</v>
      </c>
      <c r="C38" s="257">
        <v>1</v>
      </c>
      <c r="D38" s="406">
        <v>4521177</v>
      </c>
      <c r="E38" s="258">
        <f>IF(ISBLANK(D38),"-",$D$48/$D$45*D38)</f>
        <v>4839346.0265305713</v>
      </c>
      <c r="F38" s="406">
        <v>4938305</v>
      </c>
      <c r="G38" s="259">
        <f>IF(ISBLANK(F38),"-",$D$48/$F$45*F38)</f>
        <v>4976738.6940210266</v>
      </c>
      <c r="I38" s="260"/>
      <c r="J38" s="238"/>
      <c r="K38" s="238"/>
      <c r="L38" s="243"/>
      <c r="M38" s="243"/>
      <c r="N38" s="244"/>
    </row>
    <row r="39" spans="1:14" s="15" customFormat="1" ht="26.25" customHeight="1" x14ac:dyDescent="0.4">
      <c r="A39" s="250" t="s">
        <v>48</v>
      </c>
      <c r="B39" s="251">
        <v>1</v>
      </c>
      <c r="C39" s="261">
        <v>2</v>
      </c>
      <c r="D39" s="407">
        <v>4515597</v>
      </c>
      <c r="E39" s="263">
        <f>IF(ISBLANK(D39),"-",$D$48/$D$45*D39)</f>
        <v>4833373.3448974397</v>
      </c>
      <c r="F39" s="407">
        <v>4922947</v>
      </c>
      <c r="G39" s="264">
        <f>IF(ISBLANK(F39),"-",$D$48/$F$45*F39)</f>
        <v>4961261.1662330963</v>
      </c>
      <c r="I39" s="511">
        <f>ABS((F43/D43*D42)-F42)/D42</f>
        <v>2.8248537631656263E-2</v>
      </c>
      <c r="J39" s="238"/>
      <c r="K39" s="238"/>
      <c r="L39" s="243"/>
      <c r="M39" s="243"/>
      <c r="N39" s="244"/>
    </row>
    <row r="40" spans="1:14" ht="26.25" customHeight="1" x14ac:dyDescent="0.4">
      <c r="A40" s="250" t="s">
        <v>49</v>
      </c>
      <c r="B40" s="251">
        <v>1</v>
      </c>
      <c r="C40" s="261">
        <v>3</v>
      </c>
      <c r="D40" s="407">
        <v>4524178</v>
      </c>
      <c r="E40" s="263">
        <f>IF(ISBLANK(D40),"-",$D$48/$D$45*D40)</f>
        <v>4842558.2160612224</v>
      </c>
      <c r="F40" s="407">
        <v>4925006</v>
      </c>
      <c r="G40" s="264">
        <f>IF(ISBLANK(F40),"-",$D$48/$F$45*F40)</f>
        <v>4963336.1909573665</v>
      </c>
      <c r="I40" s="511"/>
      <c r="L40" s="243"/>
      <c r="M40" s="243"/>
      <c r="N40" s="265"/>
    </row>
    <row r="41" spans="1:14" ht="27" customHeight="1" x14ac:dyDescent="0.4">
      <c r="A41" s="250" t="s">
        <v>50</v>
      </c>
      <c r="B41" s="251">
        <v>1</v>
      </c>
      <c r="C41" s="266">
        <v>4</v>
      </c>
      <c r="D41" s="408"/>
      <c r="E41" s="268" t="str">
        <f>IF(ISBLANK(D41),"-",$D$48/$D$45*D41)</f>
        <v>-</v>
      </c>
      <c r="F41" s="408"/>
      <c r="G41" s="269" t="str">
        <f>IF(ISBLANK(F41),"-",$D$48/$F$45*F41)</f>
        <v>-</v>
      </c>
      <c r="I41" s="270"/>
      <c r="L41" s="243"/>
      <c r="M41" s="243"/>
      <c r="N41" s="265"/>
    </row>
    <row r="42" spans="1:14" ht="27" customHeight="1" x14ac:dyDescent="0.4">
      <c r="A42" s="250" t="s">
        <v>51</v>
      </c>
      <c r="B42" s="251">
        <v>1</v>
      </c>
      <c r="C42" s="271" t="s">
        <v>52</v>
      </c>
      <c r="D42" s="272">
        <f>AVERAGE(D38:D41)</f>
        <v>4520317.333333333</v>
      </c>
      <c r="E42" s="273">
        <f>AVERAGE(E38:E41)</f>
        <v>4838425.8624964105</v>
      </c>
      <c r="F42" s="272">
        <f>AVERAGE(F38:F41)</f>
        <v>4928752.666666667</v>
      </c>
      <c r="G42" s="274">
        <f>AVERAGE(G38:G41)</f>
        <v>4967112.0170704974</v>
      </c>
      <c r="H42" s="275"/>
    </row>
    <row r="43" spans="1:14" ht="26.25" customHeight="1" x14ac:dyDescent="0.4">
      <c r="A43" s="250" t="s">
        <v>53</v>
      </c>
      <c r="B43" s="251">
        <v>1</v>
      </c>
      <c r="C43" s="276" t="s">
        <v>54</v>
      </c>
      <c r="D43" s="409">
        <v>12.72</v>
      </c>
      <c r="E43" s="265"/>
      <c r="F43" s="409">
        <v>13.51</v>
      </c>
      <c r="H43" s="275"/>
    </row>
    <row r="44" spans="1:14" ht="26.25" customHeight="1" x14ac:dyDescent="0.4">
      <c r="A44" s="250" t="s">
        <v>55</v>
      </c>
      <c r="B44" s="251">
        <v>1</v>
      </c>
      <c r="C44" s="278" t="s">
        <v>56</v>
      </c>
      <c r="D44" s="279">
        <f>D43*$B$34</f>
        <v>12.72</v>
      </c>
      <c r="E44" s="280"/>
      <c r="F44" s="279">
        <f>F43*$B$34</f>
        <v>13.51</v>
      </c>
      <c r="H44" s="275"/>
    </row>
    <row r="45" spans="1:14" ht="19.5" customHeight="1" x14ac:dyDescent="0.3">
      <c r="A45" s="250" t="s">
        <v>57</v>
      </c>
      <c r="B45" s="281">
        <f>(B44/B43)*(B42/B41)*(B40/B39)*(B38/B37)*B36</f>
        <v>1250</v>
      </c>
      <c r="C45" s="278" t="s">
        <v>58</v>
      </c>
      <c r="D45" s="282">
        <f>D44*$B$30/100</f>
        <v>12.262080000000001</v>
      </c>
      <c r="E45" s="283"/>
      <c r="F45" s="282">
        <f>F44*$B$30/100</f>
        <v>13.02364</v>
      </c>
      <c r="H45" s="275"/>
    </row>
    <row r="46" spans="1:14" ht="19.5" customHeight="1" x14ac:dyDescent="0.3">
      <c r="A46" s="497" t="s">
        <v>59</v>
      </c>
      <c r="B46" s="498"/>
      <c r="C46" s="278" t="s">
        <v>60</v>
      </c>
      <c r="D46" s="284">
        <f>D45/$B$45</f>
        <v>9.8096640000000009E-3</v>
      </c>
      <c r="E46" s="285"/>
      <c r="F46" s="286">
        <f>F45/$B$45</f>
        <v>1.0418912000000001E-2</v>
      </c>
      <c r="H46" s="275"/>
    </row>
    <row r="47" spans="1:14" ht="27" customHeight="1" x14ac:dyDescent="0.4">
      <c r="A47" s="499"/>
      <c r="B47" s="500"/>
      <c r="C47" s="287" t="s">
        <v>61</v>
      </c>
      <c r="D47" s="288">
        <v>1.0500000000000001E-2</v>
      </c>
      <c r="E47" s="289"/>
      <c r="F47" s="285"/>
      <c r="H47" s="275"/>
    </row>
    <row r="48" spans="1:14" ht="18.75" x14ac:dyDescent="0.3">
      <c r="C48" s="290" t="s">
        <v>62</v>
      </c>
      <c r="D48" s="282">
        <f>D47*$B$45</f>
        <v>13.125</v>
      </c>
      <c r="F48" s="291"/>
      <c r="H48" s="275"/>
    </row>
    <row r="49" spans="1:12" ht="19.5" customHeight="1" x14ac:dyDescent="0.3">
      <c r="C49" s="292" t="s">
        <v>63</v>
      </c>
      <c r="D49" s="293">
        <f>D48/B34</f>
        <v>13.125</v>
      </c>
      <c r="F49" s="291"/>
      <c r="H49" s="275"/>
    </row>
    <row r="50" spans="1:12" ht="18.75" x14ac:dyDescent="0.3">
      <c r="C50" s="248" t="s">
        <v>64</v>
      </c>
      <c r="D50" s="294">
        <f>AVERAGE(E38:E41,G38:G41)</f>
        <v>4902768.9397834539</v>
      </c>
      <c r="F50" s="295"/>
      <c r="H50" s="275"/>
    </row>
    <row r="51" spans="1:12" ht="18.75" x14ac:dyDescent="0.3">
      <c r="C51" s="250" t="s">
        <v>65</v>
      </c>
      <c r="D51" s="296">
        <f>STDEV(E38:E41,G38:G41)/D50</f>
        <v>1.442975321027065E-2</v>
      </c>
      <c r="F51" s="295"/>
      <c r="H51" s="275"/>
    </row>
    <row r="52" spans="1:12" ht="19.5" customHeight="1" x14ac:dyDescent="0.3">
      <c r="C52" s="297" t="s">
        <v>66</v>
      </c>
      <c r="D52" s="298">
        <f>COUNT(E38:E41,G38:G41)</f>
        <v>6</v>
      </c>
      <c r="F52" s="295"/>
    </row>
    <row r="54" spans="1:12" ht="18.75" x14ac:dyDescent="0.3">
      <c r="A54" s="299" t="s">
        <v>12</v>
      </c>
      <c r="B54" s="300" t="s">
        <v>67</v>
      </c>
    </row>
    <row r="55" spans="1:12" ht="18.75" x14ac:dyDescent="0.3">
      <c r="A55" s="226" t="s">
        <v>68</v>
      </c>
      <c r="B55" s="301" t="str">
        <f>B21</f>
        <v>EACH FILM COATED TABLET CONTAINS CEFUROXIME 500MG AND CLAVULANIC ACID 125 MG</v>
      </c>
    </row>
    <row r="56" spans="1:12" ht="26.25" customHeight="1" x14ac:dyDescent="0.4">
      <c r="A56" s="302" t="s">
        <v>69</v>
      </c>
      <c r="B56" s="303">
        <v>125</v>
      </c>
      <c r="C56" s="226" t="str">
        <f>B20</f>
        <v>CLAVULANIC ACID</v>
      </c>
      <c r="H56" s="304"/>
    </row>
    <row r="57" spans="1:12" ht="18.75" x14ac:dyDescent="0.3">
      <c r="A57" s="301" t="s">
        <v>70</v>
      </c>
      <c r="B57" s="394">
        <f>Uniformity!C47</f>
        <v>1303.4095000000002</v>
      </c>
      <c r="H57" s="304"/>
    </row>
    <row r="58" spans="1:12" ht="19.5" customHeight="1" x14ac:dyDescent="0.3">
      <c r="H58" s="304"/>
    </row>
    <row r="59" spans="1:12" s="15" customFormat="1" ht="27" customHeight="1" thickBot="1" x14ac:dyDescent="0.45">
      <c r="A59" s="248" t="s">
        <v>71</v>
      </c>
      <c r="B59" s="249">
        <v>100</v>
      </c>
      <c r="C59" s="226"/>
      <c r="D59" s="305" t="s">
        <v>72</v>
      </c>
      <c r="E59" s="306" t="s">
        <v>43</v>
      </c>
      <c r="F59" s="306" t="s">
        <v>44</v>
      </c>
      <c r="G59" s="306" t="s">
        <v>73</v>
      </c>
      <c r="H59" s="252" t="s">
        <v>74</v>
      </c>
      <c r="L59" s="238"/>
    </row>
    <row r="60" spans="1:12" s="15" customFormat="1" ht="26.25" customHeight="1" thickBot="1" x14ac:dyDescent="0.45">
      <c r="A60" s="250" t="s">
        <v>75</v>
      </c>
      <c r="B60" s="251">
        <v>5</v>
      </c>
      <c r="C60" s="514" t="s">
        <v>76</v>
      </c>
      <c r="D60" s="517">
        <v>245.8</v>
      </c>
      <c r="E60" s="307">
        <v>1</v>
      </c>
      <c r="F60" s="308">
        <v>5368608</v>
      </c>
      <c r="G60" s="396">
        <f>IF(ISBLANK(F60),"-",(F60/$D$50*$D$47*$B$68)*($B$57/$D$60))</f>
        <v>121.93785928758247</v>
      </c>
      <c r="H60" s="309">
        <f t="shared" ref="H60:H71" si="0">IF(ISBLANK(F60),"-",G60/$B$56)</f>
        <v>0.97550287430065974</v>
      </c>
      <c r="L60" s="238"/>
    </row>
    <row r="61" spans="1:12" s="15" customFormat="1" ht="26.25" customHeight="1" thickBot="1" x14ac:dyDescent="0.45">
      <c r="A61" s="250" t="s">
        <v>77</v>
      </c>
      <c r="B61" s="251">
        <v>100</v>
      </c>
      <c r="C61" s="515"/>
      <c r="D61" s="518"/>
      <c r="E61" s="310">
        <v>2</v>
      </c>
      <c r="F61" s="262">
        <v>5356571</v>
      </c>
      <c r="G61" s="397">
        <f>IF(ISBLANK(F61),"-",(F61/$D$50*$D$47*$B$68)*($B$57/$D$60))</f>
        <v>121.66446141382366</v>
      </c>
      <c r="H61" s="311">
        <f t="shared" si="0"/>
        <v>0.97331569131058926</v>
      </c>
      <c r="L61" s="238"/>
    </row>
    <row r="62" spans="1:12" s="15" customFormat="1" ht="26.25" customHeight="1" thickBot="1" x14ac:dyDescent="0.45">
      <c r="A62" s="250" t="s">
        <v>78</v>
      </c>
      <c r="B62" s="251">
        <v>1</v>
      </c>
      <c r="C62" s="515"/>
      <c r="D62" s="518"/>
      <c r="E62" s="310">
        <v>3</v>
      </c>
      <c r="F62" s="312">
        <v>5345718</v>
      </c>
      <c r="G62" s="397">
        <f>IF(ISBLANK(F62),"-",(F62/$D$50*$D$47*$B$68)*($B$57/$D$60))</f>
        <v>121.41795587889763</v>
      </c>
      <c r="H62" s="311">
        <f t="shared" si="0"/>
        <v>0.97134364703118103</v>
      </c>
      <c r="L62" s="238"/>
    </row>
    <row r="63" spans="1:12" ht="27" customHeight="1" thickBot="1" x14ac:dyDescent="0.45">
      <c r="A63" s="250" t="s">
        <v>79</v>
      </c>
      <c r="B63" s="251">
        <v>1</v>
      </c>
      <c r="C63" s="525"/>
      <c r="D63" s="519"/>
      <c r="E63" s="313">
        <v>4</v>
      </c>
      <c r="F63" s="314"/>
      <c r="G63" s="397" t="str">
        <f>IF(ISBLANK(F63),"-",(F63/$D$50*$D$47*$B$68)*($B$57/$D$60))</f>
        <v>-</v>
      </c>
      <c r="H63" s="311" t="str">
        <f t="shared" si="0"/>
        <v>-</v>
      </c>
    </row>
    <row r="64" spans="1:12" ht="26.25" customHeight="1" x14ac:dyDescent="0.4">
      <c r="A64" s="250" t="s">
        <v>80</v>
      </c>
      <c r="B64" s="251">
        <v>1</v>
      </c>
      <c r="C64" s="514" t="s">
        <v>81</v>
      </c>
      <c r="D64" s="517">
        <v>257.08999999999997</v>
      </c>
      <c r="E64" s="307">
        <v>1</v>
      </c>
      <c r="F64" s="308">
        <v>5742164</v>
      </c>
      <c r="G64" s="398">
        <f>IF(ISBLANK(F64),"-",(F64/$D$50*$D$47*$B$68)*($B$57/$D$64))</f>
        <v>124.69503415800423</v>
      </c>
      <c r="H64" s="315">
        <f t="shared" si="0"/>
        <v>0.99756027326403385</v>
      </c>
    </row>
    <row r="65" spans="1:8" ht="26.25" customHeight="1" x14ac:dyDescent="0.4">
      <c r="A65" s="250" t="s">
        <v>82</v>
      </c>
      <c r="B65" s="251">
        <v>1</v>
      </c>
      <c r="C65" s="515"/>
      <c r="D65" s="518"/>
      <c r="E65" s="310">
        <v>2</v>
      </c>
      <c r="F65" s="262">
        <v>5719264</v>
      </c>
      <c r="G65" s="399">
        <f>IF(ISBLANK(F65),"-",(F65/$D$50*$D$47*$B$68)*($B$57/$D$64))</f>
        <v>124.19774493355534</v>
      </c>
      <c r="H65" s="316">
        <f t="shared" si="0"/>
        <v>0.99358195946844274</v>
      </c>
    </row>
    <row r="66" spans="1:8" ht="26.25" customHeight="1" x14ac:dyDescent="0.4">
      <c r="A66" s="250" t="s">
        <v>83</v>
      </c>
      <c r="B66" s="251">
        <v>1</v>
      </c>
      <c r="C66" s="515"/>
      <c r="D66" s="518"/>
      <c r="E66" s="310">
        <v>3</v>
      </c>
      <c r="F66" s="262">
        <v>5696773</v>
      </c>
      <c r="G66" s="399">
        <f>IF(ISBLANK(F66),"-",(F66/$D$50*$D$47*$B$68)*($B$57/$D$64))</f>
        <v>123.70933742494923</v>
      </c>
      <c r="H66" s="316">
        <f t="shared" si="0"/>
        <v>0.98967469939959385</v>
      </c>
    </row>
    <row r="67" spans="1:8" ht="27" customHeight="1" thickBot="1" x14ac:dyDescent="0.45">
      <c r="A67" s="250" t="s">
        <v>84</v>
      </c>
      <c r="B67" s="251">
        <v>1</v>
      </c>
      <c r="C67" s="525"/>
      <c r="D67" s="519"/>
      <c r="E67" s="313">
        <v>4</v>
      </c>
      <c r="F67" s="314"/>
      <c r="G67" s="400" t="str">
        <f>IF(ISBLANK(F67),"-",(F67/$D$50*$D$47*$B$68)*($B$57/$D$64))</f>
        <v>-</v>
      </c>
      <c r="H67" s="317" t="str">
        <f t="shared" si="0"/>
        <v>-</v>
      </c>
    </row>
    <row r="68" spans="1:8" ht="26.25" customHeight="1" x14ac:dyDescent="0.4">
      <c r="A68" s="250" t="s">
        <v>85</v>
      </c>
      <c r="B68" s="318">
        <f>(B67/B66)*(B65/B64)*(B63/B62)*(B61/B60)*B59</f>
        <v>2000</v>
      </c>
      <c r="C68" s="514" t="s">
        <v>86</v>
      </c>
      <c r="D68" s="517">
        <v>218.43</v>
      </c>
      <c r="E68" s="307">
        <v>1</v>
      </c>
      <c r="F68" s="308">
        <v>4858828</v>
      </c>
      <c r="G68" s="398">
        <f>IF(ISBLANK(F68),"-",(F68/$D$50*$D$47*$B$68)*($B$57/$D$68))</f>
        <v>124.18753031914528</v>
      </c>
      <c r="H68" s="311">
        <f t="shared" si="0"/>
        <v>0.99350024255316227</v>
      </c>
    </row>
    <row r="69" spans="1:8" ht="27" customHeight="1" thickBot="1" x14ac:dyDescent="0.45">
      <c r="A69" s="297" t="s">
        <v>87</v>
      </c>
      <c r="B69" s="319">
        <f>(D47*B68)/B56*B57</f>
        <v>218.97279600000005</v>
      </c>
      <c r="C69" s="515"/>
      <c r="D69" s="518"/>
      <c r="E69" s="310">
        <v>2</v>
      </c>
      <c r="F69" s="262">
        <v>4844204</v>
      </c>
      <c r="G69" s="399">
        <f>IF(ISBLANK(F69),"-",(F69/$D$50*$D$47*$B$68)*($B$57/$D$68))</f>
        <v>123.81375325945368</v>
      </c>
      <c r="H69" s="311">
        <f t="shared" si="0"/>
        <v>0.99051002607562944</v>
      </c>
    </row>
    <row r="70" spans="1:8" ht="26.25" customHeight="1" x14ac:dyDescent="0.4">
      <c r="A70" s="520" t="s">
        <v>59</v>
      </c>
      <c r="B70" s="521"/>
      <c r="C70" s="515"/>
      <c r="D70" s="518"/>
      <c r="E70" s="310">
        <v>3</v>
      </c>
      <c r="F70" s="262">
        <v>4844463</v>
      </c>
      <c r="G70" s="399">
        <f>IF(ISBLANK(F70),"-",(F70/$D$50*$D$47*$B$68)*($B$57/$D$68))</f>
        <v>123.82037308019083</v>
      </c>
      <c r="H70" s="311">
        <f>IF(ISBLANK(F70),"-",G70/$B$56)</f>
        <v>0.9905629846415267</v>
      </c>
    </row>
    <row r="71" spans="1:8" ht="27" customHeight="1" thickBot="1" x14ac:dyDescent="0.45">
      <c r="A71" s="522"/>
      <c r="B71" s="523"/>
      <c r="C71" s="516"/>
      <c r="D71" s="519"/>
      <c r="E71" s="313">
        <v>4</v>
      </c>
      <c r="F71" s="314"/>
      <c r="G71" s="400" t="str">
        <f>IF(ISBLANK(F71),"-",(F71/$D$50*$D$47*$B$68)*($B$57/$D$68))</f>
        <v>-</v>
      </c>
      <c r="H71" s="320" t="str">
        <f t="shared" si="0"/>
        <v>-</v>
      </c>
    </row>
    <row r="72" spans="1:8" ht="26.25" customHeight="1" x14ac:dyDescent="0.4">
      <c r="A72" s="321"/>
      <c r="B72" s="321"/>
      <c r="C72" s="321"/>
      <c r="D72" s="321"/>
      <c r="E72" s="321"/>
      <c r="F72" s="322"/>
      <c r="G72" s="323" t="s">
        <v>52</v>
      </c>
      <c r="H72" s="324">
        <f>AVERAGE(H60:H71)</f>
        <v>0.98617248867164653</v>
      </c>
    </row>
    <row r="73" spans="1:8" ht="26.25" customHeight="1" x14ac:dyDescent="0.4">
      <c r="C73" s="321"/>
      <c r="D73" s="321"/>
      <c r="E73" s="321"/>
      <c r="F73" s="322"/>
      <c r="G73" s="325" t="s">
        <v>65</v>
      </c>
      <c r="H73" s="401">
        <f>STDEV(H60:H71)/H72</f>
        <v>1.0061745052895732E-2</v>
      </c>
    </row>
    <row r="74" spans="1:8" ht="27" customHeight="1" x14ac:dyDescent="0.4">
      <c r="A74" s="321"/>
      <c r="B74" s="321"/>
      <c r="C74" s="322"/>
      <c r="D74" s="322"/>
      <c r="E74" s="326"/>
      <c r="F74" s="322"/>
      <c r="G74" s="327" t="s">
        <v>66</v>
      </c>
      <c r="H74" s="328">
        <f>COUNT(H60:H71)</f>
        <v>9</v>
      </c>
    </row>
    <row r="76" spans="1:8" ht="26.25" customHeight="1" x14ac:dyDescent="0.4">
      <c r="A76" s="234" t="s">
        <v>88</v>
      </c>
      <c r="B76" s="329" t="s">
        <v>89</v>
      </c>
      <c r="C76" s="501" t="str">
        <f>B20</f>
        <v>CLAVULANIC ACID</v>
      </c>
      <c r="D76" s="501"/>
      <c r="E76" s="330" t="s">
        <v>90</v>
      </c>
      <c r="F76" s="330"/>
      <c r="G76" s="331">
        <f>H72</f>
        <v>0.98617248867164653</v>
      </c>
      <c r="H76" s="332"/>
    </row>
    <row r="77" spans="1:8" ht="18.75" x14ac:dyDescent="0.3">
      <c r="A77" s="233" t="s">
        <v>91</v>
      </c>
      <c r="B77" s="233" t="s">
        <v>92</v>
      </c>
    </row>
    <row r="78" spans="1:8" ht="18.75" x14ac:dyDescent="0.3">
      <c r="A78" s="233"/>
      <c r="B78" s="233"/>
    </row>
    <row r="79" spans="1:8" ht="26.25" customHeight="1" x14ac:dyDescent="0.4">
      <c r="A79" s="234" t="s">
        <v>27</v>
      </c>
      <c r="B79" s="524">
        <f>B26</f>
        <v>0</v>
      </c>
      <c r="C79" s="524"/>
    </row>
    <row r="80" spans="1:8" ht="26.25" customHeight="1" x14ac:dyDescent="0.4">
      <c r="A80" s="235" t="s">
        <v>28</v>
      </c>
      <c r="B80" s="524">
        <f>B27</f>
        <v>0</v>
      </c>
      <c r="C80" s="524"/>
    </row>
    <row r="81" spans="1:12" ht="27" customHeight="1" x14ac:dyDescent="0.4">
      <c r="A81" s="235" t="s">
        <v>29</v>
      </c>
      <c r="B81" s="333">
        <f>B28</f>
        <v>96.4</v>
      </c>
    </row>
    <row r="82" spans="1:12" s="15" customFormat="1" ht="27" customHeight="1" x14ac:dyDescent="0.4">
      <c r="A82" s="235" t="s">
        <v>30</v>
      </c>
      <c r="B82" s="237">
        <v>0</v>
      </c>
      <c r="C82" s="503" t="s">
        <v>31</v>
      </c>
      <c r="D82" s="504"/>
      <c r="E82" s="504"/>
      <c r="F82" s="504"/>
      <c r="G82" s="505"/>
      <c r="I82" s="238"/>
      <c r="J82" s="238"/>
      <c r="K82" s="238"/>
      <c r="L82" s="238"/>
    </row>
    <row r="83" spans="1:12" s="15" customFormat="1" ht="19.5" customHeight="1" x14ac:dyDescent="0.3">
      <c r="A83" s="235" t="s">
        <v>32</v>
      </c>
      <c r="B83" s="239">
        <f>B81-B82</f>
        <v>96.4</v>
      </c>
      <c r="C83" s="240"/>
      <c r="D83" s="240"/>
      <c r="E83" s="240"/>
      <c r="F83" s="240"/>
      <c r="G83" s="241"/>
      <c r="I83" s="238"/>
      <c r="J83" s="238"/>
      <c r="K83" s="238"/>
      <c r="L83" s="238"/>
    </row>
    <row r="84" spans="1:12" s="15" customFormat="1" ht="27" customHeight="1" x14ac:dyDescent="0.4">
      <c r="A84" s="235" t="s">
        <v>33</v>
      </c>
      <c r="B84" s="242">
        <v>1</v>
      </c>
      <c r="C84" s="506" t="s">
        <v>93</v>
      </c>
      <c r="D84" s="507"/>
      <c r="E84" s="507"/>
      <c r="F84" s="507"/>
      <c r="G84" s="507"/>
      <c r="H84" s="508"/>
      <c r="I84" s="238"/>
      <c r="J84" s="238"/>
      <c r="K84" s="238"/>
      <c r="L84" s="238"/>
    </row>
    <row r="85" spans="1:12" s="15" customFormat="1" ht="27" customHeight="1" x14ac:dyDescent="0.4">
      <c r="A85" s="235" t="s">
        <v>35</v>
      </c>
      <c r="B85" s="242">
        <v>1</v>
      </c>
      <c r="C85" s="506" t="s">
        <v>94</v>
      </c>
      <c r="D85" s="507"/>
      <c r="E85" s="507"/>
      <c r="F85" s="507"/>
      <c r="G85" s="507"/>
      <c r="H85" s="508"/>
      <c r="I85" s="238"/>
      <c r="J85" s="238"/>
      <c r="K85" s="238"/>
      <c r="L85" s="238"/>
    </row>
    <row r="86" spans="1:12" s="15" customFormat="1" ht="18.75" x14ac:dyDescent="0.3">
      <c r="A86" s="235"/>
      <c r="B86" s="245"/>
      <c r="C86" s="246"/>
      <c r="D86" s="246"/>
      <c r="E86" s="246"/>
      <c r="F86" s="246"/>
      <c r="G86" s="246"/>
      <c r="H86" s="246"/>
      <c r="I86" s="238"/>
      <c r="J86" s="238"/>
      <c r="K86" s="238"/>
      <c r="L86" s="238"/>
    </row>
    <row r="87" spans="1:12" s="15" customFormat="1" ht="18.75" x14ac:dyDescent="0.3">
      <c r="A87" s="235" t="s">
        <v>37</v>
      </c>
      <c r="B87" s="247">
        <f>B84/B85</f>
        <v>1</v>
      </c>
      <c r="C87" s="226" t="s">
        <v>38</v>
      </c>
      <c r="D87" s="226"/>
      <c r="E87" s="226"/>
      <c r="F87" s="226"/>
      <c r="G87" s="226"/>
      <c r="I87" s="238"/>
      <c r="J87" s="238"/>
      <c r="K87" s="238"/>
      <c r="L87" s="238"/>
    </row>
    <row r="88" spans="1:12" ht="19.5" customHeight="1" x14ac:dyDescent="0.3">
      <c r="A88" s="233"/>
      <c r="B88" s="233"/>
    </row>
    <row r="89" spans="1:12" ht="27" customHeight="1" x14ac:dyDescent="0.4">
      <c r="A89" s="248" t="s">
        <v>39</v>
      </c>
      <c r="B89" s="249">
        <v>25</v>
      </c>
      <c r="D89" s="334" t="s">
        <v>40</v>
      </c>
      <c r="E89" s="335"/>
      <c r="F89" s="509" t="s">
        <v>41</v>
      </c>
      <c r="G89" s="510"/>
    </row>
    <row r="90" spans="1:12" ht="27" customHeight="1" x14ac:dyDescent="0.4">
      <c r="A90" s="250" t="s">
        <v>42</v>
      </c>
      <c r="B90" s="251">
        <v>2</v>
      </c>
      <c r="C90" s="336" t="s">
        <v>43</v>
      </c>
      <c r="D90" s="253" t="s">
        <v>44</v>
      </c>
      <c r="E90" s="254" t="s">
        <v>45</v>
      </c>
      <c r="F90" s="253" t="s">
        <v>44</v>
      </c>
      <c r="G90" s="337" t="s">
        <v>45</v>
      </c>
      <c r="I90" s="256" t="s">
        <v>46</v>
      </c>
    </row>
    <row r="91" spans="1:12" ht="26.25" customHeight="1" x14ac:dyDescent="0.4">
      <c r="A91" s="250" t="s">
        <v>47</v>
      </c>
      <c r="B91" s="251">
        <v>100</v>
      </c>
      <c r="C91" s="338">
        <v>1</v>
      </c>
      <c r="D91" s="406">
        <v>4669203</v>
      </c>
      <c r="E91" s="258">
        <f>IF(ISBLANK(D91),"-",$D$101/$D$98*D91)</f>
        <v>4854995.0946332114</v>
      </c>
      <c r="F91" s="406">
        <v>4932975</v>
      </c>
      <c r="G91" s="259">
        <f>IF(ISBLANK(F91),"-",$D$101/$F$98*F91)</f>
        <v>4829328.1486589005</v>
      </c>
      <c r="I91" s="260"/>
    </row>
    <row r="92" spans="1:12" ht="26.25" customHeight="1" x14ac:dyDescent="0.4">
      <c r="A92" s="250" t="s">
        <v>48</v>
      </c>
      <c r="B92" s="251">
        <v>1</v>
      </c>
      <c r="C92" s="322">
        <v>2</v>
      </c>
      <c r="D92" s="407">
        <v>4669727</v>
      </c>
      <c r="E92" s="263">
        <f>IF(ISBLANK(D92),"-",$D$101/$D$98*D92)</f>
        <v>4855539.9450990371</v>
      </c>
      <c r="F92" s="407">
        <v>4943747</v>
      </c>
      <c r="G92" s="264">
        <f>IF(ISBLANK(F92),"-",$D$101/$F$98*F92)</f>
        <v>4839873.8179188007</v>
      </c>
      <c r="I92" s="511">
        <f>ABS((F96/D96*D95)-F95)/D95</f>
        <v>4.4933595569780068E-3</v>
      </c>
    </row>
    <row r="93" spans="1:12" ht="26.25" customHeight="1" x14ac:dyDescent="0.4">
      <c r="A93" s="250" t="s">
        <v>49</v>
      </c>
      <c r="B93" s="251">
        <v>1</v>
      </c>
      <c r="C93" s="322">
        <v>3</v>
      </c>
      <c r="D93" s="407">
        <v>4664909</v>
      </c>
      <c r="E93" s="263">
        <f>IF(ISBLANK(D93),"-",$D$101/$D$98*D93)</f>
        <v>4850530.2322281376</v>
      </c>
      <c r="F93" s="407">
        <v>4933928</v>
      </c>
      <c r="G93" s="264">
        <f>IF(ISBLANK(F93),"-",$D$101/$F$98*F93)</f>
        <v>4830261.1251539513</v>
      </c>
      <c r="I93" s="511"/>
    </row>
    <row r="94" spans="1:12" ht="27" customHeight="1" x14ac:dyDescent="0.4">
      <c r="A94" s="250" t="s">
        <v>50</v>
      </c>
      <c r="B94" s="251">
        <v>1</v>
      </c>
      <c r="C94" s="339">
        <v>4</v>
      </c>
      <c r="D94" s="267"/>
      <c r="E94" s="268" t="str">
        <f>IF(ISBLANK(D94),"-",$D$101/$D$98*D94)</f>
        <v>-</v>
      </c>
      <c r="F94" s="410"/>
      <c r="G94" s="269" t="str">
        <f>IF(ISBLANK(F94),"-",$D$101/$F$98*F94)</f>
        <v>-</v>
      </c>
      <c r="I94" s="270"/>
    </row>
    <row r="95" spans="1:12" ht="27" customHeight="1" x14ac:dyDescent="0.4">
      <c r="A95" s="250" t="s">
        <v>51</v>
      </c>
      <c r="B95" s="251">
        <v>1</v>
      </c>
      <c r="C95" s="340" t="s">
        <v>52</v>
      </c>
      <c r="D95" s="341">
        <f>AVERAGE(D91:D94)</f>
        <v>4667946.333333333</v>
      </c>
      <c r="E95" s="273">
        <f>AVERAGE(E91:E94)</f>
        <v>4853688.4239867954</v>
      </c>
      <c r="F95" s="342">
        <f>AVERAGE(F91:F94)</f>
        <v>4936883.333333333</v>
      </c>
      <c r="G95" s="343">
        <f>AVERAGE(G91:G94)</f>
        <v>4833154.3639105512</v>
      </c>
    </row>
    <row r="96" spans="1:12" ht="26.25" customHeight="1" x14ac:dyDescent="0.4">
      <c r="A96" s="250" t="s">
        <v>53</v>
      </c>
      <c r="B96" s="236">
        <v>1</v>
      </c>
      <c r="C96" s="344" t="s">
        <v>95</v>
      </c>
      <c r="D96" s="345">
        <v>12.72</v>
      </c>
      <c r="E96" s="265"/>
      <c r="F96" s="277">
        <v>13.51</v>
      </c>
    </row>
    <row r="97" spans="1:10" ht="26.25" customHeight="1" x14ac:dyDescent="0.4">
      <c r="A97" s="250" t="s">
        <v>55</v>
      </c>
      <c r="B97" s="236">
        <v>1</v>
      </c>
      <c r="C97" s="346" t="s">
        <v>96</v>
      </c>
      <c r="D97" s="347">
        <f>D96*$B$87</f>
        <v>12.72</v>
      </c>
      <c r="E97" s="280"/>
      <c r="F97" s="279">
        <f>F96*$B$87</f>
        <v>13.51</v>
      </c>
    </row>
    <row r="98" spans="1:10" ht="19.5" customHeight="1" x14ac:dyDescent="0.3">
      <c r="A98" s="250" t="s">
        <v>57</v>
      </c>
      <c r="B98" s="348">
        <f>(B97/B96)*(B95/B94)*(B93/B92)*(B91/B90)*B89</f>
        <v>1250</v>
      </c>
      <c r="C98" s="346" t="s">
        <v>97</v>
      </c>
      <c r="D98" s="349">
        <f>D97*$B$83/100</f>
        <v>12.262080000000001</v>
      </c>
      <c r="E98" s="283"/>
      <c r="F98" s="282">
        <f>F97*$B$83/100</f>
        <v>13.02364</v>
      </c>
    </row>
    <row r="99" spans="1:10" ht="19.5" customHeight="1" x14ac:dyDescent="0.3">
      <c r="A99" s="497" t="s">
        <v>59</v>
      </c>
      <c r="B99" s="512"/>
      <c r="C99" s="346" t="s">
        <v>98</v>
      </c>
      <c r="D99" s="350">
        <f>D98/$B$98</f>
        <v>9.8096640000000009E-3</v>
      </c>
      <c r="E99" s="283"/>
      <c r="F99" s="286">
        <f>F98/$B$98</f>
        <v>1.0418912000000001E-2</v>
      </c>
      <c r="G99" s="351"/>
      <c r="H99" s="275"/>
    </row>
    <row r="100" spans="1:10" ht="19.5" customHeight="1" x14ac:dyDescent="0.3">
      <c r="A100" s="499"/>
      <c r="B100" s="513"/>
      <c r="C100" s="346" t="s">
        <v>61</v>
      </c>
      <c r="D100" s="352">
        <v>1.0200000000000001E-2</v>
      </c>
      <c r="F100" s="291"/>
      <c r="G100" s="353"/>
      <c r="H100" s="275"/>
    </row>
    <row r="101" spans="1:10" ht="18.75" x14ac:dyDescent="0.3">
      <c r="C101" s="346" t="s">
        <v>62</v>
      </c>
      <c r="D101" s="347">
        <f>D100*$B$98</f>
        <v>12.750000000000002</v>
      </c>
      <c r="F101" s="291"/>
      <c r="G101" s="351"/>
      <c r="H101" s="275"/>
    </row>
    <row r="102" spans="1:10" ht="19.5" customHeight="1" x14ac:dyDescent="0.3">
      <c r="C102" s="354" t="s">
        <v>63</v>
      </c>
      <c r="D102" s="355">
        <f>D101/B34</f>
        <v>12.750000000000002</v>
      </c>
      <c r="F102" s="295"/>
      <c r="G102" s="351"/>
      <c r="H102" s="275"/>
      <c r="J102" s="356"/>
    </row>
    <row r="103" spans="1:10" ht="18.75" x14ac:dyDescent="0.3">
      <c r="C103" s="357" t="s">
        <v>99</v>
      </c>
      <c r="D103" s="358">
        <f>AVERAGE(E91:E94,G91:G94)</f>
        <v>4843421.3939486733</v>
      </c>
      <c r="F103" s="295"/>
      <c r="G103" s="359"/>
      <c r="H103" s="275"/>
      <c r="J103" s="360"/>
    </row>
    <row r="104" spans="1:10" ht="18.75" x14ac:dyDescent="0.3">
      <c r="C104" s="325" t="s">
        <v>65</v>
      </c>
      <c r="D104" s="361">
        <f>STDEV(E91:E94,G91:G94)/D103</f>
        <v>2.4702521152667914E-3</v>
      </c>
      <c r="F104" s="295"/>
      <c r="G104" s="351"/>
      <c r="H104" s="275"/>
      <c r="J104" s="360"/>
    </row>
    <row r="105" spans="1:10" ht="19.5" customHeight="1" x14ac:dyDescent="0.3">
      <c r="C105" s="327" t="s">
        <v>66</v>
      </c>
      <c r="D105" s="362">
        <f>COUNT(E91:E94,G91:G94)</f>
        <v>6</v>
      </c>
      <c r="F105" s="295"/>
      <c r="G105" s="351"/>
      <c r="H105" s="275"/>
      <c r="J105" s="360"/>
    </row>
    <row r="106" spans="1:10" ht="19.5" customHeight="1" x14ac:dyDescent="0.3">
      <c r="A106" s="299"/>
      <c r="B106" s="299"/>
      <c r="C106" s="299"/>
      <c r="D106" s="299"/>
      <c r="E106" s="299"/>
    </row>
    <row r="107" spans="1:10" ht="26.25" customHeight="1" x14ac:dyDescent="0.4">
      <c r="A107" s="248" t="s">
        <v>100</v>
      </c>
      <c r="B107" s="249">
        <v>900</v>
      </c>
      <c r="C107" s="363" t="s">
        <v>101</v>
      </c>
      <c r="D107" s="364" t="s">
        <v>44</v>
      </c>
      <c r="E107" s="365" t="s">
        <v>102</v>
      </c>
      <c r="F107" s="366" t="s">
        <v>103</v>
      </c>
    </row>
    <row r="108" spans="1:10" ht="26.25" customHeight="1" x14ac:dyDescent="0.4">
      <c r="A108" s="250" t="s">
        <v>104</v>
      </c>
      <c r="B108" s="251">
        <v>5</v>
      </c>
      <c r="C108" s="367">
        <v>1</v>
      </c>
      <c r="D108" s="368">
        <v>5602762</v>
      </c>
      <c r="E108" s="402">
        <f t="shared" ref="E108:E113" si="1">IF(ISBLANK(D108),"-",D108/$D$103*$D$100*$B$116)</f>
        <v>106.19219550927443</v>
      </c>
      <c r="F108" s="369">
        <f t="shared" ref="F108:F112" si="2">IF(ISBLANK(D108), "-", E108/$B$56)</f>
        <v>0.84953756407419545</v>
      </c>
    </row>
    <row r="109" spans="1:10" ht="26.25" customHeight="1" x14ac:dyDescent="0.4">
      <c r="A109" s="250" t="s">
        <v>77</v>
      </c>
      <c r="B109" s="251">
        <v>50</v>
      </c>
      <c r="C109" s="367">
        <v>2</v>
      </c>
      <c r="D109" s="368">
        <v>5560767</v>
      </c>
      <c r="E109" s="403">
        <f t="shared" si="1"/>
        <v>105.39624143333617</v>
      </c>
      <c r="F109" s="370">
        <f t="shared" si="2"/>
        <v>0.84316993146668939</v>
      </c>
    </row>
    <row r="110" spans="1:10" ht="26.25" customHeight="1" x14ac:dyDescent="0.4">
      <c r="A110" s="250" t="s">
        <v>78</v>
      </c>
      <c r="B110" s="251">
        <v>1</v>
      </c>
      <c r="C110" s="367">
        <v>3</v>
      </c>
      <c r="D110" s="368">
        <v>5982866</v>
      </c>
      <c r="E110" s="403">
        <f t="shared" si="1"/>
        <v>113.39651335855257</v>
      </c>
      <c r="F110" s="370">
        <f t="shared" si="2"/>
        <v>0.90717210686842054</v>
      </c>
    </row>
    <row r="111" spans="1:10" ht="26.25" customHeight="1" x14ac:dyDescent="0.4">
      <c r="A111" s="250" t="s">
        <v>79</v>
      </c>
      <c r="B111" s="251">
        <v>1</v>
      </c>
      <c r="C111" s="367">
        <v>4</v>
      </c>
      <c r="D111" s="368">
        <v>5661731</v>
      </c>
      <c r="E111" s="403">
        <f t="shared" si="1"/>
        <v>107.3098670393138</v>
      </c>
      <c r="F111" s="370">
        <f t="shared" si="2"/>
        <v>0.85847893631451044</v>
      </c>
    </row>
    <row r="112" spans="1:10" ht="26.25" customHeight="1" x14ac:dyDescent="0.4">
      <c r="A112" s="250" t="s">
        <v>80</v>
      </c>
      <c r="B112" s="251">
        <v>1</v>
      </c>
      <c r="C112" s="367">
        <v>5</v>
      </c>
      <c r="D112" s="368">
        <v>5364264</v>
      </c>
      <c r="E112" s="403">
        <f t="shared" si="1"/>
        <v>101.67181319702007</v>
      </c>
      <c r="F112" s="370">
        <f t="shared" si="2"/>
        <v>0.81337450557616053</v>
      </c>
    </row>
    <row r="113" spans="1:10" ht="26.25" customHeight="1" x14ac:dyDescent="0.4">
      <c r="A113" s="250" t="s">
        <v>82</v>
      </c>
      <c r="B113" s="251">
        <v>1</v>
      </c>
      <c r="C113" s="371">
        <v>6</v>
      </c>
      <c r="D113" s="372">
        <v>5207108</v>
      </c>
      <c r="E113" s="404">
        <f t="shared" si="1"/>
        <v>98.693150052403979</v>
      </c>
      <c r="F113" s="373">
        <f>IF(ISBLANK(D113), "-", E113/$B$56)</f>
        <v>0.78954520041923182</v>
      </c>
    </row>
    <row r="114" spans="1:10" ht="26.25" customHeight="1" x14ac:dyDescent="0.4">
      <c r="A114" s="250" t="s">
        <v>83</v>
      </c>
      <c r="B114" s="251">
        <v>1</v>
      </c>
      <c r="C114" s="367"/>
      <c r="D114" s="322"/>
      <c r="E114" s="225"/>
      <c r="F114" s="374"/>
    </row>
    <row r="115" spans="1:10" ht="26.25" customHeight="1" x14ac:dyDescent="0.4">
      <c r="A115" s="250" t="s">
        <v>84</v>
      </c>
      <c r="B115" s="251">
        <v>1</v>
      </c>
      <c r="C115" s="367"/>
      <c r="D115" s="375"/>
      <c r="E115" s="376" t="s">
        <v>52</v>
      </c>
      <c r="F115" s="377">
        <f>AVERAGE(F108:F113)</f>
        <v>0.84354637411986799</v>
      </c>
    </row>
    <row r="116" spans="1:10" ht="27" customHeight="1" x14ac:dyDescent="0.4">
      <c r="A116" s="250" t="s">
        <v>85</v>
      </c>
      <c r="B116" s="281">
        <f>(B115/B114)*(B113/B112)*(B111/B110)*(B109/B108)*B107</f>
        <v>9000</v>
      </c>
      <c r="C116" s="378"/>
      <c r="D116" s="379"/>
      <c r="E116" s="340" t="s">
        <v>65</v>
      </c>
      <c r="F116" s="536">
        <f>STDEV(F108:F113)/F115</f>
        <v>4.7813511196275846E-2</v>
      </c>
      <c r="I116" s="225"/>
    </row>
    <row r="117" spans="1:10" ht="27" customHeight="1" x14ac:dyDescent="0.4">
      <c r="A117" s="497" t="s">
        <v>59</v>
      </c>
      <c r="B117" s="498"/>
      <c r="C117" s="380"/>
      <c r="D117" s="381"/>
      <c r="E117" s="382" t="s">
        <v>66</v>
      </c>
      <c r="F117" s="383">
        <f>COUNT(F108:F113)</f>
        <v>6</v>
      </c>
      <c r="I117" s="225"/>
      <c r="J117" s="360"/>
    </row>
    <row r="118" spans="1:10" ht="19.5" customHeight="1" x14ac:dyDescent="0.3">
      <c r="A118" s="499"/>
      <c r="B118" s="500"/>
      <c r="C118" s="225"/>
      <c r="D118" s="225"/>
      <c r="E118" s="225"/>
      <c r="F118" s="322"/>
      <c r="G118" s="225"/>
      <c r="H118" s="225"/>
      <c r="I118" s="225"/>
    </row>
    <row r="119" spans="1:10" ht="18.75" x14ac:dyDescent="0.3">
      <c r="A119" s="392"/>
      <c r="B119" s="246"/>
      <c r="C119" s="225"/>
      <c r="D119" s="225"/>
      <c r="E119" s="225"/>
      <c r="F119" s="322"/>
      <c r="G119" s="225"/>
      <c r="H119" s="225"/>
      <c r="I119" s="225"/>
    </row>
    <row r="120" spans="1:10" ht="26.25" customHeight="1" x14ac:dyDescent="0.4">
      <c r="A120" s="234" t="s">
        <v>88</v>
      </c>
      <c r="B120" s="329" t="s">
        <v>105</v>
      </c>
      <c r="C120" s="501" t="str">
        <f>B20</f>
        <v>CLAVULANIC ACID</v>
      </c>
      <c r="D120" s="501"/>
      <c r="E120" s="330" t="s">
        <v>106</v>
      </c>
      <c r="F120" s="330"/>
      <c r="G120" s="331">
        <f>F115</f>
        <v>0.84354637411986799</v>
      </c>
      <c r="H120" s="225"/>
      <c r="I120" s="225"/>
    </row>
    <row r="121" spans="1:10" ht="19.5" customHeight="1" x14ac:dyDescent="0.3">
      <c r="A121" s="384"/>
      <c r="B121" s="384"/>
      <c r="C121" s="385"/>
      <c r="D121" s="385"/>
      <c r="E121" s="385"/>
      <c r="F121" s="385"/>
      <c r="G121" s="385"/>
      <c r="H121" s="385"/>
    </row>
    <row r="122" spans="1:10" ht="18.75" x14ac:dyDescent="0.3">
      <c r="B122" s="502" t="s">
        <v>19</v>
      </c>
      <c r="C122" s="502"/>
      <c r="E122" s="336" t="s">
        <v>20</v>
      </c>
      <c r="F122" s="386"/>
      <c r="G122" s="502" t="s">
        <v>21</v>
      </c>
      <c r="H122" s="502"/>
    </row>
    <row r="123" spans="1:10" ht="69.95" customHeight="1" x14ac:dyDescent="0.3">
      <c r="A123" s="387" t="s">
        <v>22</v>
      </c>
      <c r="B123" s="482" t="s">
        <v>135</v>
      </c>
      <c r="C123" s="388"/>
      <c r="E123" s="388"/>
      <c r="F123" s="225"/>
      <c r="G123" s="389"/>
      <c r="H123" s="389"/>
    </row>
    <row r="124" spans="1:10" ht="69.95" customHeight="1" x14ac:dyDescent="0.3">
      <c r="A124" s="387" t="s">
        <v>23</v>
      </c>
      <c r="B124" s="390"/>
      <c r="C124" s="390"/>
      <c r="E124" s="390"/>
      <c r="F124" s="225"/>
      <c r="G124" s="391"/>
      <c r="H124" s="391"/>
    </row>
    <row r="125" spans="1:10" ht="18.75" x14ac:dyDescent="0.3">
      <c r="A125" s="321"/>
      <c r="B125" s="321"/>
      <c r="C125" s="322"/>
      <c r="D125" s="322"/>
      <c r="E125" s="322"/>
      <c r="F125" s="326"/>
      <c r="G125" s="322"/>
      <c r="H125" s="322"/>
      <c r="I125" s="225"/>
    </row>
    <row r="126" spans="1:10" ht="18.75" x14ac:dyDescent="0.3">
      <c r="A126" s="321"/>
      <c r="B126" s="321"/>
      <c r="C126" s="322"/>
      <c r="D126" s="322"/>
      <c r="E126" s="322"/>
      <c r="F126" s="326"/>
      <c r="G126" s="322"/>
      <c r="H126" s="322"/>
      <c r="I126" s="225"/>
    </row>
    <row r="127" spans="1:10" ht="18.75" x14ac:dyDescent="0.3">
      <c r="A127" s="321"/>
      <c r="B127" s="321"/>
      <c r="C127" s="322"/>
      <c r="D127" s="322"/>
      <c r="E127" s="322"/>
      <c r="F127" s="326"/>
      <c r="G127" s="322"/>
      <c r="H127" s="322"/>
      <c r="I127" s="225"/>
    </row>
    <row r="128" spans="1:10" ht="18.75" x14ac:dyDescent="0.3">
      <c r="A128" s="321"/>
      <c r="B128" s="321"/>
      <c r="C128" s="322"/>
      <c r="D128" s="322"/>
      <c r="E128" s="322"/>
      <c r="F128" s="326"/>
      <c r="G128" s="322"/>
      <c r="H128" s="322"/>
      <c r="I128" s="225"/>
    </row>
    <row r="129" spans="1:9" ht="18.75" x14ac:dyDescent="0.3">
      <c r="A129" s="321"/>
      <c r="B129" s="321"/>
      <c r="C129" s="322"/>
      <c r="D129" s="322"/>
      <c r="E129" s="322"/>
      <c r="F129" s="326"/>
      <c r="G129" s="322"/>
      <c r="H129" s="322"/>
      <c r="I129" s="225"/>
    </row>
    <row r="130" spans="1:9" ht="18.75" x14ac:dyDescent="0.3">
      <c r="A130" s="321"/>
      <c r="B130" s="321"/>
      <c r="C130" s="322"/>
      <c r="D130" s="322"/>
      <c r="E130" s="322"/>
      <c r="F130" s="326"/>
      <c r="G130" s="322"/>
      <c r="H130" s="322"/>
      <c r="I130" s="225"/>
    </row>
    <row r="131" spans="1:9" ht="18.75" x14ac:dyDescent="0.3">
      <c r="A131" s="321"/>
      <c r="B131" s="321"/>
      <c r="C131" s="322"/>
      <c r="D131" s="322"/>
      <c r="E131" s="322"/>
      <c r="F131" s="326"/>
      <c r="G131" s="322"/>
      <c r="H131" s="322"/>
      <c r="I131" s="225"/>
    </row>
    <row r="132" spans="1:9" ht="18.75" x14ac:dyDescent="0.3">
      <c r="A132" s="321"/>
      <c r="B132" s="321"/>
      <c r="C132" s="322"/>
      <c r="D132" s="322"/>
      <c r="E132" s="322"/>
      <c r="F132" s="326"/>
      <c r="G132" s="322"/>
      <c r="H132" s="322"/>
      <c r="I132" s="225"/>
    </row>
    <row r="133" spans="1:9" ht="18.75" x14ac:dyDescent="0.3">
      <c r="A133" s="321"/>
      <c r="B133" s="321"/>
      <c r="C133" s="322"/>
      <c r="D133" s="322"/>
      <c r="E133" s="322"/>
      <c r="F133" s="326"/>
      <c r="G133" s="322"/>
      <c r="H133" s="322"/>
      <c r="I133" s="225"/>
    </row>
    <row r="250" spans="1:1" x14ac:dyDescent="0.25">
      <c r="A250" s="2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7" priority="1" operator="greaterThan">
      <formula>0.02</formula>
    </cfRule>
  </conditionalFormatting>
  <conditionalFormatting sqref="D51">
    <cfRule type="cellIs" dxfId="6" priority="2" operator="greaterThan">
      <formula>0.02</formula>
    </cfRule>
  </conditionalFormatting>
  <conditionalFormatting sqref="H73">
    <cfRule type="cellIs" dxfId="5" priority="3" operator="greaterThan">
      <formula>0.02</formula>
    </cfRule>
  </conditionalFormatting>
  <conditionalFormatting sqref="D104">
    <cfRule type="cellIs" dxfId="4" priority="4" operator="greaterThan">
      <formula>0.02</formula>
    </cfRule>
  </conditionalFormatting>
  <conditionalFormatting sqref="I39">
    <cfRule type="cellIs" dxfId="3" priority="5" operator="lessThanOrEqual">
      <formula>0.02</formula>
    </cfRule>
  </conditionalFormatting>
  <conditionalFormatting sqref="I39">
    <cfRule type="cellIs" dxfId="2" priority="6" operator="greaterThan">
      <formula>0.02</formula>
    </cfRule>
  </conditionalFormatting>
  <conditionalFormatting sqref="I92">
    <cfRule type="cellIs" dxfId="1" priority="7" operator="lessThanOrEqual">
      <formula>0.02</formula>
    </cfRule>
  </conditionalFormatting>
  <conditionalFormatting sqref="I92">
    <cfRule type="cellIs" dxfId="0" priority="8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2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Uniformity</vt:lpstr>
      <vt:lpstr>SST</vt:lpstr>
      <vt:lpstr>cefuroxime</vt:lpstr>
      <vt:lpstr>clavulanate</vt:lpstr>
      <vt:lpstr>SST!Print_Area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Jane Matundura</cp:lastModifiedBy>
  <cp:lastPrinted>2015-07-31T11:44:34Z</cp:lastPrinted>
  <dcterms:created xsi:type="dcterms:W3CDTF">2005-07-05T10:19:27Z</dcterms:created>
  <dcterms:modified xsi:type="dcterms:W3CDTF">2015-08-19T13:27:43Z</dcterms:modified>
</cp:coreProperties>
</file>