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/>
  </bookViews>
  <sheets>
    <sheet name="SST" sheetId="1" r:id="rId1"/>
    <sheet name="Uniformity" sheetId="2" r:id="rId2"/>
    <sheet name="Ritonavir" sheetId="3" r:id="rId3"/>
    <sheet name="SST (2)" sheetId="5" r:id="rId4"/>
    <sheet name="Atazanavir" sheetId="4" r:id="rId5"/>
  </sheets>
  <definedNames>
    <definedName name="_xlnm.Print_Area" localSheetId="4">Atazanavir!$A$1:$H$142</definedName>
    <definedName name="_xlnm.Print_Area" localSheetId="2">Ritonavir!$A$1:$H$142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G76" i="4" l="1"/>
  <c r="H68" i="4"/>
  <c r="H64" i="4"/>
  <c r="H60" i="4"/>
  <c r="G76" i="3"/>
  <c r="H68" i="3"/>
  <c r="H64" i="3"/>
  <c r="H60" i="3"/>
  <c r="G138" i="3"/>
  <c r="F130" i="3"/>
  <c r="F128" i="3"/>
  <c r="F126" i="3"/>
  <c r="G121" i="3"/>
  <c r="F113" i="3"/>
  <c r="F111" i="3"/>
  <c r="F109" i="3"/>
  <c r="G138" i="4"/>
  <c r="F130" i="4"/>
  <c r="F128" i="4"/>
  <c r="F126" i="4"/>
  <c r="G121" i="4"/>
  <c r="F114" i="4"/>
  <c r="F111" i="4"/>
  <c r="F109" i="4"/>
  <c r="B117" i="3" l="1"/>
  <c r="B117" i="4"/>
  <c r="D101" i="4" s="1"/>
  <c r="B45" i="3"/>
  <c r="D48" i="3" s="1"/>
  <c r="E38" i="4"/>
  <c r="B45" i="4"/>
  <c r="D48" i="4" s="1"/>
  <c r="G38" i="4" s="1"/>
  <c r="B30" i="3"/>
  <c r="B30" i="4"/>
  <c r="B53" i="5"/>
  <c r="E51" i="5"/>
  <c r="D51" i="5"/>
  <c r="C51" i="5"/>
  <c r="B51" i="5"/>
  <c r="B52" i="5" s="1"/>
  <c r="B32" i="5"/>
  <c r="E30" i="5"/>
  <c r="D30" i="5"/>
  <c r="C30" i="5"/>
  <c r="B30" i="5"/>
  <c r="B31" i="5" s="1"/>
  <c r="C138" i="4"/>
  <c r="B134" i="4"/>
  <c r="C121" i="4"/>
  <c r="B99" i="4"/>
  <c r="F96" i="4"/>
  <c r="D96" i="4"/>
  <c r="G95" i="4"/>
  <c r="E95" i="4"/>
  <c r="B88" i="4"/>
  <c r="D98" i="4" s="1"/>
  <c r="B83" i="4"/>
  <c r="B82" i="4"/>
  <c r="B81" i="4"/>
  <c r="B80" i="4"/>
  <c r="C76" i="4"/>
  <c r="H71" i="4"/>
  <c r="G71" i="4"/>
  <c r="B68" i="4"/>
  <c r="H67" i="4"/>
  <c r="G67" i="4"/>
  <c r="H63" i="4"/>
  <c r="G63" i="4"/>
  <c r="C56" i="4"/>
  <c r="B55" i="4"/>
  <c r="F42" i="4"/>
  <c r="D42" i="4"/>
  <c r="G41" i="4"/>
  <c r="E41" i="4"/>
  <c r="B34" i="4"/>
  <c r="D44" i="4" s="1"/>
  <c r="D45" i="4" s="1"/>
  <c r="C138" i="3"/>
  <c r="B134" i="3"/>
  <c r="C121" i="3"/>
  <c r="D101" i="3"/>
  <c r="B99" i="3"/>
  <c r="F98" i="3"/>
  <c r="F96" i="3"/>
  <c r="D96" i="3"/>
  <c r="G95" i="3"/>
  <c r="E95" i="3"/>
  <c r="B88" i="3"/>
  <c r="D98" i="3" s="1"/>
  <c r="B83" i="3"/>
  <c r="B82" i="3"/>
  <c r="B84" i="3" s="1"/>
  <c r="B81" i="3"/>
  <c r="B80" i="3"/>
  <c r="C76" i="3"/>
  <c r="H71" i="3"/>
  <c r="G71" i="3"/>
  <c r="B68" i="3"/>
  <c r="H67" i="3"/>
  <c r="G67" i="3"/>
  <c r="H63" i="3"/>
  <c r="G63" i="3"/>
  <c r="C56" i="3"/>
  <c r="B55" i="3"/>
  <c r="F44" i="3"/>
  <c r="F42" i="3"/>
  <c r="D42" i="3"/>
  <c r="G41" i="3"/>
  <c r="E41" i="3"/>
  <c r="B34" i="3"/>
  <c r="D44" i="3" s="1"/>
  <c r="D45" i="3" s="1"/>
  <c r="C46" i="2"/>
  <c r="B57" i="4" s="1"/>
  <c r="B69" i="4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8" i="2" l="1"/>
  <c r="D33" i="2"/>
  <c r="D36" i="2"/>
  <c r="D25" i="2"/>
  <c r="D41" i="2"/>
  <c r="D29" i="2"/>
  <c r="D37" i="2"/>
  <c r="D24" i="2"/>
  <c r="D32" i="2"/>
  <c r="D40" i="2"/>
  <c r="D49" i="2"/>
  <c r="D50" i="2"/>
  <c r="D26" i="2"/>
  <c r="D30" i="2"/>
  <c r="D34" i="2"/>
  <c r="D38" i="2"/>
  <c r="D42" i="2"/>
  <c r="B49" i="2"/>
  <c r="B57" i="3"/>
  <c r="B69" i="3" s="1"/>
  <c r="D27" i="2"/>
  <c r="D31" i="2"/>
  <c r="D35" i="2"/>
  <c r="D39" i="2"/>
  <c r="D43" i="2"/>
  <c r="C49" i="2"/>
  <c r="D102" i="3"/>
  <c r="D102" i="4"/>
  <c r="D103" i="4" s="1"/>
  <c r="G38" i="3"/>
  <c r="E38" i="3"/>
  <c r="D46" i="3"/>
  <c r="D49" i="4"/>
  <c r="D46" i="4"/>
  <c r="F45" i="3"/>
  <c r="F46" i="3" s="1"/>
  <c r="F99" i="3"/>
  <c r="F100" i="3" s="1"/>
  <c r="D99" i="3"/>
  <c r="D100" i="3" s="1"/>
  <c r="B84" i="4"/>
  <c r="D99" i="4" s="1"/>
  <c r="E39" i="3"/>
  <c r="G40" i="3"/>
  <c r="D49" i="3"/>
  <c r="E40" i="3"/>
  <c r="G39" i="3"/>
  <c r="C50" i="2"/>
  <c r="F44" i="4"/>
  <c r="F45" i="4" s="1"/>
  <c r="F98" i="4"/>
  <c r="E39" i="4"/>
  <c r="E40" i="4"/>
  <c r="D103" i="3" l="1"/>
  <c r="G92" i="3"/>
  <c r="E92" i="3"/>
  <c r="E92" i="4"/>
  <c r="G42" i="3"/>
  <c r="G94" i="3"/>
  <c r="E94" i="3"/>
  <c r="E93" i="3"/>
  <c r="G93" i="3"/>
  <c r="D100" i="4"/>
  <c r="E93" i="4"/>
  <c r="F99" i="4"/>
  <c r="E94" i="4"/>
  <c r="F46" i="4"/>
  <c r="G39" i="4"/>
  <c r="D52" i="3"/>
  <c r="D50" i="3"/>
  <c r="E42" i="3"/>
  <c r="E42" i="4"/>
  <c r="G40" i="4"/>
  <c r="G93" i="4"/>
  <c r="D106" i="3" l="1"/>
  <c r="F100" i="4"/>
  <c r="G92" i="4"/>
  <c r="E96" i="4"/>
  <c r="G96" i="3"/>
  <c r="E96" i="3"/>
  <c r="D104" i="3"/>
  <c r="E126" i="3" s="1"/>
  <c r="G42" i="4"/>
  <c r="G94" i="4"/>
  <c r="D50" i="4"/>
  <c r="G68" i="4" s="1"/>
  <c r="D52" i="4"/>
  <c r="G69" i="3"/>
  <c r="H69" i="3" s="1"/>
  <c r="G66" i="3"/>
  <c r="H66" i="3" s="1"/>
  <c r="G64" i="3"/>
  <c r="G62" i="3"/>
  <c r="H62" i="3" s="1"/>
  <c r="G70" i="3"/>
  <c r="H70" i="3" s="1"/>
  <c r="G65" i="3"/>
  <c r="H65" i="3" s="1"/>
  <c r="G61" i="3"/>
  <c r="H61" i="3" s="1"/>
  <c r="G68" i="3"/>
  <c r="G60" i="3"/>
  <c r="D51" i="3"/>
  <c r="D106" i="4" l="1"/>
  <c r="E129" i="3"/>
  <c r="F129" i="3" s="1"/>
  <c r="E109" i="3"/>
  <c r="D104" i="4"/>
  <c r="E129" i="4" s="1"/>
  <c r="F129" i="4" s="1"/>
  <c r="G96" i="4"/>
  <c r="E112" i="3"/>
  <c r="F112" i="3" s="1"/>
  <c r="E111" i="3"/>
  <c r="E131" i="3"/>
  <c r="F131" i="3" s="1"/>
  <c r="E114" i="3"/>
  <c r="F114" i="3" s="1"/>
  <c r="E113" i="3"/>
  <c r="D105" i="3"/>
  <c r="E128" i="3"/>
  <c r="E127" i="3"/>
  <c r="F127" i="3" s="1"/>
  <c r="E110" i="3"/>
  <c r="F110" i="3" s="1"/>
  <c r="E130" i="3"/>
  <c r="G65" i="4"/>
  <c r="H65" i="4" s="1"/>
  <c r="G60" i="4"/>
  <c r="D51" i="4"/>
  <c r="G69" i="4"/>
  <c r="H69" i="4" s="1"/>
  <c r="G62" i="4"/>
  <c r="H62" i="4" s="1"/>
  <c r="G61" i="4"/>
  <c r="H61" i="4" s="1"/>
  <c r="G66" i="4"/>
  <c r="H66" i="4" s="1"/>
  <c r="G64" i="4"/>
  <c r="G70" i="4"/>
  <c r="H70" i="4" s="1"/>
  <c r="H74" i="3"/>
  <c r="H72" i="3"/>
  <c r="F133" i="3" l="1"/>
  <c r="F135" i="3"/>
  <c r="F118" i="3"/>
  <c r="E112" i="4"/>
  <c r="F112" i="4" s="1"/>
  <c r="E113" i="4"/>
  <c r="F113" i="4" s="1"/>
  <c r="E130" i="4"/>
  <c r="E126" i="4"/>
  <c r="E109" i="4"/>
  <c r="E131" i="4"/>
  <c r="F131" i="4" s="1"/>
  <c r="E128" i="4"/>
  <c r="E111" i="4"/>
  <c r="E114" i="4"/>
  <c r="E110" i="4"/>
  <c r="F110" i="4" s="1"/>
  <c r="E127" i="4"/>
  <c r="F127" i="4" s="1"/>
  <c r="D105" i="4"/>
  <c r="F116" i="3"/>
  <c r="H72" i="4"/>
  <c r="H74" i="4"/>
  <c r="H73" i="3"/>
  <c r="H73" i="4" l="1"/>
  <c r="F134" i="3"/>
  <c r="F117" i="3"/>
  <c r="F135" i="4"/>
  <c r="F118" i="4"/>
  <c r="F116" i="4"/>
  <c r="F133" i="4"/>
  <c r="F117" i="4" l="1"/>
  <c r="F134" i="4"/>
</calcChain>
</file>

<file path=xl/sharedStrings.xml><?xml version="1.0" encoding="utf-8"?>
<sst xmlns="http://schemas.openxmlformats.org/spreadsheetml/2006/main" count="482" uniqueCount="125">
  <si>
    <t>HPLC System Suitability Report</t>
  </si>
  <si>
    <t>Analysis Data</t>
  </si>
  <si>
    <t>Assay</t>
  </si>
  <si>
    <t>Sample(s)</t>
  </si>
  <si>
    <t>Reference Substance:</t>
  </si>
  <si>
    <t>ATAZANAVIR SULFATE /RITONAVIR TABLETS</t>
  </si>
  <si>
    <t>% age Purity:</t>
  </si>
  <si>
    <t>Weight (mg):</t>
  </si>
  <si>
    <t>ATAZANAVIR SULFATE 300 mg RITONAVIR  100 mg TABLETS</t>
  </si>
  <si>
    <t>Standard Conc (mg/mL):</t>
  </si>
  <si>
    <t>2015-03-10 06:24:07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</si>
  <si>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</si>
  <si>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</si>
  <si>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</si>
  <si>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</si>
  <si>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</si>
  <si>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</si>
  <si>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</si>
  <si>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</si>
  <si>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</si>
  <si>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</si>
  <si>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</si>
  <si>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</si>
  <si>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</si>
  <si>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</si>
  <si>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</si>
  <si>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</si>
  <si>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</si>
  <si>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</si>
  <si>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</si>
  <si>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</si>
  <si>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</si>
  <si>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</si>
  <si>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</si>
  <si>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</si>
  <si>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</si>
  <si>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</si>
  <si>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</si>
  <si>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</si>
  <si>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</si>
  <si>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</si>
  <si>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</si>
  <si>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</si>
  <si>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</si>
  <si>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</si>
  <si>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</si>
  <si>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</si>
  <si>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</si>
  <si>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</si>
  <si>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</si>
  <si>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</si>
  <si>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</si>
  <si>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</si>
  <si>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</si>
  <si>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</si>
  <si>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</si>
  <si>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</si>
  <si>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</si>
  <si>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</si>
  <si>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</si>
  <si>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</si>
  <si>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</si>
  <si>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</si>
  <si>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</si>
  <si>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</si>
  <si>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</si>
  <si>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</si>
  <si>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</si>
  <si>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</si>
  <si>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</si>
  <si>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</si>
  <si>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</si>
  <si>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</si>
  <si>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</si>
  <si>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</si>
  <si>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</si>
  <si>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</si>
  <si>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</si>
  <si>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</si>
  <si>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</si>
  <si>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</si>
  <si>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</si>
  <si>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</si>
  <si>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</si>
  <si>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</si>
  <si>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</si>
  <si>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</si>
  <si>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</si>
  <si>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</si>
  <si>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</si>
  <si>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</si>
  <si>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</si>
  <si>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</si>
  <si>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</si>
  <si>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</si>
  <si>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</si>
  <si>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</si>
  <si>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</si>
  <si>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</si>
  <si>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</si>
  <si>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</si>
  <si>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</si>
  <si>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</si>
  <si>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</si>
  <si>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</si>
  <si>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</si>
  <si>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in the sample as a percentage of the stated  label claim is </t>
  </si>
  <si>
    <t>Analysis Data:</t>
  </si>
  <si>
    <t>Determination of Active Ingredient Dissolved after</t>
  </si>
  <si>
    <t>Average Normalised Peak Area: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</si>
  <si>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</si>
  <si>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</si>
  <si>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</si>
  <si>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</si>
  <si>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</si>
  <si>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Ritonavir</t>
  </si>
  <si>
    <t>Atazanavir</t>
  </si>
  <si>
    <t xml:space="preserve">ATAZANAVIR SULFATE 300 mg </t>
  </si>
  <si>
    <t xml:space="preserve">Ritonavir 100 mg </t>
  </si>
  <si>
    <t xml:space="preserve">ATAZANAVIR SULFATE </t>
  </si>
  <si>
    <t>R9 1</t>
  </si>
  <si>
    <t>Michael Bugigi</t>
  </si>
  <si>
    <t>Bugigi</t>
  </si>
  <si>
    <t>NDQD201507009</t>
  </si>
  <si>
    <t>NDQD201502090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</si>
</sst>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vertAlign val="superscript"/>
      <sz val="14"/>
      <color rgb="FF000000"/>
      <name val="Book Antiqua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0" xfId="0" applyFont="1" applyFill="1"/>
    <xf numFmtId="0" fontId="11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right"/>
    </xf>
    <xf numFmtId="1" fontId="12" fillId="6" borderId="30" xfId="0" applyNumberFormat="1" applyFont="1" applyFill="1" applyBorder="1" applyAlignment="1">
      <alignment horizontal="center"/>
    </xf>
    <xf numFmtId="170" fontId="12" fillId="6" borderId="31" xfId="0" applyNumberFormat="1" applyFont="1" applyFill="1" applyBorder="1" applyAlignment="1">
      <alignment horizontal="center"/>
    </xf>
    <xf numFmtId="2" fontId="11" fillId="6" borderId="3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33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34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32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/>
    <xf numFmtId="0" fontId="12" fillId="2" borderId="24" xfId="0" applyFont="1" applyFill="1" applyBorder="1" applyAlignment="1">
      <alignment horizontal="center" wrapText="1"/>
    </xf>
    <xf numFmtId="2" fontId="11" fillId="2" borderId="38" xfId="0" applyNumberFormat="1" applyFont="1" applyFill="1" applyBorder="1" applyAlignment="1">
      <alignment horizontal="center"/>
    </xf>
    <xf numFmtId="10" fontId="11" fillId="2" borderId="26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0" fontId="11" fillId="2" borderId="22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0" fontId="11" fillId="2" borderId="41" xfId="0" applyFont="1" applyFill="1" applyBorder="1"/>
    <xf numFmtId="0" fontId="11" fillId="2" borderId="42" xfId="0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2" borderId="44" xfId="0" applyFont="1" applyFill="1" applyBorder="1" applyAlignment="1">
      <alignment horizontal="center"/>
    </xf>
    <xf numFmtId="1" fontId="12" fillId="6" borderId="45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47" xfId="0" applyNumberFormat="1" applyFont="1" applyFill="1" applyBorder="1" applyAlignment="1">
      <alignment horizontal="center"/>
    </xf>
    <xf numFmtId="10" fontId="11" fillId="2" borderId="48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8" fontId="11" fillId="3" borderId="0" xfId="0" applyNumberFormat="1" applyFont="1" applyFill="1" applyAlignment="1" applyProtection="1">
      <alignment horizontal="left"/>
      <protection locked="0"/>
    </xf>
    <xf numFmtId="170" fontId="11" fillId="2" borderId="38" xfId="0" applyNumberFormat="1" applyFont="1" applyFill="1" applyBorder="1" applyAlignment="1">
      <alignment horizontal="center"/>
    </xf>
    <xf numFmtId="170" fontId="11" fillId="2" borderId="39" xfId="0" applyNumberFormat="1" applyFont="1" applyFill="1" applyBorder="1" applyAlignment="1">
      <alignment horizontal="center"/>
    </xf>
    <xf numFmtId="170" fontId="11" fillId="2" borderId="40" xfId="0" applyNumberFormat="1" applyFont="1" applyFill="1" applyBorder="1" applyAlignment="1">
      <alignment horizontal="center"/>
    </xf>
    <xf numFmtId="170" fontId="11" fillId="2" borderId="26" xfId="0" applyNumberFormat="1" applyFont="1" applyFill="1" applyBorder="1" applyAlignment="1">
      <alignment horizontal="center"/>
    </xf>
    <xf numFmtId="170" fontId="11" fillId="2" borderId="47" xfId="0" applyNumberFormat="1" applyFont="1" applyFill="1" applyBorder="1" applyAlignment="1">
      <alignment horizontal="center"/>
    </xf>
    <xf numFmtId="170" fontId="11" fillId="2" borderId="48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10" fontId="11" fillId="2" borderId="49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3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10" fontId="11" fillId="2" borderId="27" xfId="0" applyNumberFormat="1" applyFont="1" applyFill="1" applyBorder="1" applyAlignment="1">
      <alignment horizontal="center"/>
    </xf>
    <xf numFmtId="10" fontId="11" fillId="2" borderId="23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52" xfId="0" applyNumberFormat="1" applyFont="1" applyFill="1" applyBorder="1" applyAlignment="1">
      <alignment horizontal="center"/>
    </xf>
    <xf numFmtId="2" fontId="11" fillId="7" borderId="52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2" fontId="11" fillId="7" borderId="26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2" fillId="6" borderId="53" xfId="0" applyNumberFormat="1" applyFont="1" applyFill="1" applyBorder="1" applyAlignment="1">
      <alignment horizontal="center"/>
    </xf>
    <xf numFmtId="2" fontId="11" fillId="7" borderId="52" xfId="0" applyNumberFormat="1" applyFont="1" applyFill="1" applyBorder="1" applyAlignment="1">
      <alignment horizontal="center"/>
    </xf>
    <xf numFmtId="2" fontId="11" fillId="7" borderId="26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8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8" fillId="3" borderId="24" xfId="0" applyFont="1" applyFill="1" applyBorder="1" applyAlignment="1" applyProtection="1">
      <alignment horizontal="center"/>
      <protection locked="0"/>
    </xf>
    <xf numFmtId="0" fontId="18" fillId="3" borderId="23" xfId="0" applyFont="1" applyFill="1" applyBorder="1" applyAlignment="1" applyProtection="1">
      <alignment horizontal="center"/>
      <protection locked="0"/>
    </xf>
    <xf numFmtId="0" fontId="18" fillId="3" borderId="54" xfId="0" applyFont="1" applyFill="1" applyBorder="1" applyAlignment="1" applyProtection="1">
      <alignment horizontal="center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9" xfId="0" applyFont="1" applyFill="1" applyBorder="1" applyAlignment="1" applyProtection="1">
      <alignment horizontal="center"/>
      <protection locked="0"/>
    </xf>
    <xf numFmtId="0" fontId="18" fillId="3" borderId="55" xfId="0" applyFont="1" applyFill="1" applyBorder="1" applyAlignment="1" applyProtection="1">
      <alignment horizontal="center"/>
      <protection locked="0"/>
    </xf>
    <xf numFmtId="0" fontId="18" fillId="3" borderId="16" xfId="0" applyFont="1" applyFill="1" applyBorder="1" applyAlignment="1" applyProtection="1">
      <alignment horizontal="center"/>
      <protection locked="0"/>
    </xf>
    <xf numFmtId="0" fontId="18" fillId="3" borderId="52" xfId="0" applyFont="1" applyFill="1" applyBorder="1" applyAlignment="1" applyProtection="1">
      <alignment horizontal="center"/>
      <protection locked="0"/>
    </xf>
    <xf numFmtId="2" fontId="19" fillId="2" borderId="49" xfId="0" applyNumberFormat="1" applyFont="1" applyFill="1" applyBorder="1" applyAlignment="1">
      <alignment horizontal="center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10" fontId="18" fillId="7" borderId="28" xfId="0" applyNumberFormat="1" applyFont="1" applyFill="1" applyBorder="1" applyAlignment="1">
      <alignment horizontal="center"/>
    </xf>
    <xf numFmtId="10" fontId="18" fillId="6" borderId="56" xfId="0" applyNumberFormat="1" applyFont="1" applyFill="1" applyBorder="1" applyAlignment="1">
      <alignment horizontal="center"/>
    </xf>
    <xf numFmtId="0" fontId="18" fillId="7" borderId="57" xfId="0" applyFont="1" applyFill="1" applyBorder="1" applyAlignment="1">
      <alignment horizontal="center"/>
    </xf>
    <xf numFmtId="1" fontId="18" fillId="3" borderId="39" xfId="0" applyNumberFormat="1" applyFont="1" applyFill="1" applyBorder="1" applyAlignment="1" applyProtection="1">
      <alignment horizontal="center"/>
      <protection locked="0"/>
    </xf>
    <xf numFmtId="1" fontId="18" fillId="3" borderId="40" xfId="0" applyNumberFormat="1" applyFont="1" applyFill="1" applyBorder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24" xfId="0" applyFont="1" applyFill="1" applyBorder="1" applyAlignment="1" applyProtection="1">
      <alignment horizontal="center"/>
      <protection locked="0"/>
    </xf>
    <xf numFmtId="0" fontId="19" fillId="3" borderId="23" xfId="0" applyFont="1" applyFill="1" applyBorder="1" applyAlignment="1" applyProtection="1">
      <alignment horizontal="center"/>
      <protection locked="0"/>
    </xf>
    <xf numFmtId="1" fontId="19" fillId="3" borderId="39" xfId="0" applyNumberFormat="1" applyFont="1" applyFill="1" applyBorder="1" applyAlignment="1" applyProtection="1">
      <alignment horizontal="center"/>
      <protection locked="0"/>
    </xf>
    <xf numFmtId="1" fontId="19" fillId="3" borderId="40" xfId="0" applyNumberFormat="1" applyFont="1" applyFill="1" applyBorder="1" applyAlignment="1" applyProtection="1">
      <alignment horizontal="center"/>
      <protection locked="0"/>
    </xf>
    <xf numFmtId="10" fontId="18" fillId="7" borderId="52" xfId="0" applyNumberFormat="1" applyFont="1" applyFill="1" applyBorder="1" applyAlignment="1">
      <alignment horizontal="center"/>
    </xf>
    <xf numFmtId="10" fontId="18" fillId="6" borderId="52" xfId="0" applyNumberFormat="1" applyFont="1" applyFill="1" applyBorder="1" applyAlignment="1">
      <alignment horizontal="center"/>
    </xf>
    <xf numFmtId="0" fontId="18" fillId="7" borderId="17" xfId="0" applyFont="1" applyFill="1" applyBorder="1" applyAlignment="1">
      <alignment horizontal="center"/>
    </xf>
    <xf numFmtId="165" fontId="18" fillId="2" borderId="0" xfId="0" applyNumberFormat="1" applyFont="1" applyFill="1" applyAlignment="1">
      <alignment horizontal="center"/>
    </xf>
    <xf numFmtId="0" fontId="11" fillId="2" borderId="23" xfId="0" applyFont="1" applyFill="1" applyBorder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0" xfId="0" applyFont="1" applyFill="1"/>
    <xf numFmtId="0" fontId="11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right"/>
    </xf>
    <xf numFmtId="1" fontId="12" fillId="6" borderId="30" xfId="0" applyNumberFormat="1" applyFont="1" applyFill="1" applyBorder="1" applyAlignment="1">
      <alignment horizontal="center"/>
    </xf>
    <xf numFmtId="170" fontId="12" fillId="6" borderId="31" xfId="0" applyNumberFormat="1" applyFont="1" applyFill="1" applyBorder="1" applyAlignment="1">
      <alignment horizontal="center"/>
    </xf>
    <xf numFmtId="2" fontId="11" fillId="6" borderId="3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33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34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32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/>
    <xf numFmtId="0" fontId="12" fillId="2" borderId="24" xfId="0" applyFont="1" applyFill="1" applyBorder="1" applyAlignment="1">
      <alignment horizontal="center" wrapText="1"/>
    </xf>
    <xf numFmtId="2" fontId="11" fillId="2" borderId="38" xfId="0" applyNumberFormat="1" applyFont="1" applyFill="1" applyBorder="1" applyAlignment="1">
      <alignment horizontal="center"/>
    </xf>
    <xf numFmtId="10" fontId="11" fillId="2" borderId="26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0" fontId="11" fillId="2" borderId="22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0" fontId="11" fillId="2" borderId="41" xfId="0" applyFont="1" applyFill="1" applyBorder="1"/>
    <xf numFmtId="0" fontId="11" fillId="2" borderId="42" xfId="0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2" borderId="44" xfId="0" applyFont="1" applyFill="1" applyBorder="1" applyAlignment="1">
      <alignment horizontal="center"/>
    </xf>
    <xf numFmtId="1" fontId="12" fillId="6" borderId="45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47" xfId="0" applyNumberFormat="1" applyFont="1" applyFill="1" applyBorder="1" applyAlignment="1">
      <alignment horizontal="center"/>
    </xf>
    <xf numFmtId="10" fontId="11" fillId="2" borderId="48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8" fontId="11" fillId="3" borderId="0" xfId="0" applyNumberFormat="1" applyFont="1" applyFill="1" applyAlignment="1" applyProtection="1">
      <alignment horizontal="left"/>
      <protection locked="0"/>
    </xf>
    <xf numFmtId="170" fontId="11" fillId="2" borderId="38" xfId="0" applyNumberFormat="1" applyFont="1" applyFill="1" applyBorder="1" applyAlignment="1">
      <alignment horizontal="center"/>
    </xf>
    <xf numFmtId="170" fontId="11" fillId="2" borderId="39" xfId="0" applyNumberFormat="1" applyFont="1" applyFill="1" applyBorder="1" applyAlignment="1">
      <alignment horizontal="center"/>
    </xf>
    <xf numFmtId="170" fontId="11" fillId="2" borderId="40" xfId="0" applyNumberFormat="1" applyFont="1" applyFill="1" applyBorder="1" applyAlignment="1">
      <alignment horizontal="center"/>
    </xf>
    <xf numFmtId="170" fontId="11" fillId="2" borderId="26" xfId="0" applyNumberFormat="1" applyFont="1" applyFill="1" applyBorder="1" applyAlignment="1">
      <alignment horizontal="center"/>
    </xf>
    <xf numFmtId="170" fontId="11" fillId="2" borderId="47" xfId="0" applyNumberFormat="1" applyFont="1" applyFill="1" applyBorder="1" applyAlignment="1">
      <alignment horizontal="center"/>
    </xf>
    <xf numFmtId="170" fontId="11" fillId="2" borderId="48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10" fontId="11" fillId="2" borderId="49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3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10" fontId="11" fillId="2" borderId="27" xfId="0" applyNumberFormat="1" applyFont="1" applyFill="1" applyBorder="1" applyAlignment="1">
      <alignment horizontal="center"/>
    </xf>
    <xf numFmtId="10" fontId="11" fillId="2" borderId="23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52" xfId="0" applyNumberFormat="1" applyFont="1" applyFill="1" applyBorder="1" applyAlignment="1">
      <alignment horizontal="center"/>
    </xf>
    <xf numFmtId="2" fontId="11" fillId="7" borderId="52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2" fontId="11" fillId="7" borderId="26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2" fillId="6" borderId="53" xfId="0" applyNumberFormat="1" applyFont="1" applyFill="1" applyBorder="1" applyAlignment="1">
      <alignment horizontal="center"/>
    </xf>
    <xf numFmtId="2" fontId="11" fillId="7" borderId="52" xfId="0" applyNumberFormat="1" applyFont="1" applyFill="1" applyBorder="1" applyAlignment="1">
      <alignment horizontal="center"/>
    </xf>
    <xf numFmtId="2" fontId="11" fillId="7" borderId="26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8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8" fillId="3" borderId="24" xfId="0" applyFont="1" applyFill="1" applyBorder="1" applyAlignment="1" applyProtection="1">
      <alignment horizontal="center"/>
      <protection locked="0"/>
    </xf>
    <xf numFmtId="0" fontId="18" fillId="3" borderId="23" xfId="0" applyFont="1" applyFill="1" applyBorder="1" applyAlignment="1" applyProtection="1">
      <alignment horizontal="center"/>
      <protection locked="0"/>
    </xf>
    <xf numFmtId="0" fontId="18" fillId="3" borderId="54" xfId="0" applyFont="1" applyFill="1" applyBorder="1" applyAlignment="1" applyProtection="1">
      <alignment horizontal="center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9" xfId="0" applyFont="1" applyFill="1" applyBorder="1" applyAlignment="1" applyProtection="1">
      <alignment horizontal="center"/>
      <protection locked="0"/>
    </xf>
    <xf numFmtId="0" fontId="18" fillId="3" borderId="55" xfId="0" applyFont="1" applyFill="1" applyBorder="1" applyAlignment="1" applyProtection="1">
      <alignment horizontal="center"/>
      <protection locked="0"/>
    </xf>
    <xf numFmtId="0" fontId="18" fillId="3" borderId="16" xfId="0" applyFont="1" applyFill="1" applyBorder="1" applyAlignment="1" applyProtection="1">
      <alignment horizontal="center"/>
      <protection locked="0"/>
    </xf>
    <xf numFmtId="0" fontId="18" fillId="3" borderId="52" xfId="0" applyFont="1" applyFill="1" applyBorder="1" applyAlignment="1" applyProtection="1">
      <alignment horizontal="center"/>
      <protection locked="0"/>
    </xf>
    <xf numFmtId="2" fontId="19" fillId="2" borderId="49" xfId="0" applyNumberFormat="1" applyFont="1" applyFill="1" applyBorder="1" applyAlignment="1">
      <alignment horizontal="center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10" fontId="18" fillId="7" borderId="28" xfId="0" applyNumberFormat="1" applyFont="1" applyFill="1" applyBorder="1" applyAlignment="1">
      <alignment horizontal="center"/>
    </xf>
    <xf numFmtId="10" fontId="18" fillId="6" borderId="56" xfId="0" applyNumberFormat="1" applyFont="1" applyFill="1" applyBorder="1" applyAlignment="1">
      <alignment horizontal="center"/>
    </xf>
    <xf numFmtId="0" fontId="18" fillId="7" borderId="57" xfId="0" applyFont="1" applyFill="1" applyBorder="1" applyAlignment="1">
      <alignment horizontal="center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24" xfId="0" applyFont="1" applyFill="1" applyBorder="1" applyAlignment="1" applyProtection="1">
      <alignment horizontal="center"/>
      <protection locked="0"/>
    </xf>
    <xf numFmtId="0" fontId="19" fillId="3" borderId="23" xfId="0" applyFont="1" applyFill="1" applyBorder="1" applyAlignment="1" applyProtection="1">
      <alignment horizontal="center"/>
      <protection locked="0"/>
    </xf>
    <xf numFmtId="1" fontId="19" fillId="3" borderId="39" xfId="0" applyNumberFormat="1" applyFont="1" applyFill="1" applyBorder="1" applyAlignment="1" applyProtection="1">
      <alignment horizontal="center"/>
      <protection locked="0"/>
    </xf>
    <xf numFmtId="1" fontId="19" fillId="3" borderId="40" xfId="0" applyNumberFormat="1" applyFont="1" applyFill="1" applyBorder="1" applyAlignment="1" applyProtection="1">
      <alignment horizontal="center"/>
      <protection locked="0"/>
    </xf>
    <xf numFmtId="10" fontId="18" fillId="7" borderId="52" xfId="0" applyNumberFormat="1" applyFont="1" applyFill="1" applyBorder="1" applyAlignment="1">
      <alignment horizontal="center"/>
    </xf>
    <xf numFmtId="10" fontId="18" fillId="6" borderId="52" xfId="0" applyNumberFormat="1" applyFont="1" applyFill="1" applyBorder="1" applyAlignment="1">
      <alignment horizontal="center"/>
    </xf>
    <xf numFmtId="0" fontId="18" fillId="7" borderId="17" xfId="0" applyFont="1" applyFill="1" applyBorder="1" applyAlignment="1">
      <alignment horizontal="center"/>
    </xf>
    <xf numFmtId="165" fontId="18" fillId="2" borderId="0" xfId="0" applyNumberFormat="1" applyFont="1" applyFill="1" applyAlignment="1">
      <alignment horizontal="center"/>
    </xf>
    <xf numFmtId="0" fontId="11" fillId="2" borderId="23" xfId="0" applyFont="1" applyFill="1" applyBorder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25" fillId="2" borderId="0" xfId="0" applyFont="1" applyFill="1"/>
    <xf numFmtId="0" fontId="27" fillId="3" borderId="0" xfId="0" applyFont="1" applyFill="1" applyAlignment="1" applyProtection="1">
      <alignment horizontal="left"/>
      <protection locked="0"/>
    </xf>
    <xf numFmtId="0" fontId="27" fillId="3" borderId="0" xfId="0" applyFont="1" applyFill="1" applyProtection="1">
      <protection locked="0"/>
    </xf>
    <xf numFmtId="0" fontId="28" fillId="3" borderId="0" xfId="0" applyFont="1" applyFill="1" applyAlignment="1" applyProtection="1">
      <alignment horizontal="center"/>
      <protection locked="0"/>
    </xf>
    <xf numFmtId="0" fontId="27" fillId="2" borderId="7" xfId="0" applyFont="1" applyFill="1" applyBorder="1" applyProtection="1">
      <protection locked="0"/>
    </xf>
    <xf numFmtId="14" fontId="11" fillId="2" borderId="7" xfId="0" applyNumberFormat="1" applyFont="1" applyFill="1" applyBorder="1"/>
    <xf numFmtId="0" fontId="26" fillId="2" borderId="7" xfId="0" applyFont="1" applyFill="1" applyBorder="1"/>
    <xf numFmtId="14" fontId="2" fillId="2" borderId="7" xfId="0" applyNumberFormat="1" applyFont="1" applyFill="1" applyBorder="1"/>
    <xf numFmtId="0" fontId="25" fillId="2" borderId="7" xfId="0" applyFont="1" applyFill="1" applyBorder="1"/>
    <xf numFmtId="14" fontId="6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18" xfId="0" applyFont="1" applyFill="1" applyBorder="1" applyAlignment="1">
      <alignment horizontal="center"/>
    </xf>
    <xf numFmtId="0" fontId="23" fillId="2" borderId="19" xfId="0" applyFont="1" applyFill="1" applyBorder="1" applyAlignment="1">
      <alignment horizontal="center"/>
    </xf>
    <xf numFmtId="0" fontId="23" fillId="2" borderId="2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8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2" fillId="2" borderId="35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2" borderId="41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24" xfId="0" applyFont="1" applyFill="1" applyBorder="1" applyAlignment="1">
      <alignment horizontal="left" vertical="center" wrapText="1"/>
    </xf>
    <xf numFmtId="0" fontId="17" fillId="2" borderId="49" xfId="0" applyFont="1" applyFill="1" applyBorder="1" applyAlignment="1">
      <alignment horizontal="left" vertical="center" wrapText="1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41" xfId="0" applyFont="1" applyFill="1" applyBorder="1" applyAlignment="1">
      <alignment horizontal="center" vertical="center" wrapText="1"/>
    </xf>
    <xf numFmtId="0" fontId="17" fillId="2" borderId="4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2" fontId="18" fillId="3" borderId="13" xfId="0" applyNumberFormat="1" applyFont="1" applyFill="1" applyBorder="1" applyAlignment="1" applyProtection="1">
      <alignment horizontal="center" vertical="center"/>
      <protection locked="0"/>
    </xf>
    <xf numFmtId="2" fontId="18" fillId="3" borderId="14" xfId="0" applyNumberFormat="1" applyFont="1" applyFill="1" applyBorder="1" applyAlignment="1" applyProtection="1">
      <alignment horizontal="center" vertical="center"/>
      <protection locked="0"/>
    </xf>
    <xf numFmtId="2" fontId="18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6" xfId="0" applyFont="1" applyFill="1" applyBorder="1" applyAlignment="1">
      <alignment horizontal="center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topLeftCell="A10" zoomScale="60" zoomScaleNormal="100" workbookViewId="0">
      <selection activeCell="C57" sqref="C5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1" t="s">
        <v>0</v>
      </c>
      <c r="B15" s="461"/>
      <c r="C15" s="461"/>
      <c r="D15" s="461"/>
      <c r="E15" s="46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51" t="s">
        <v>115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7</v>
      </c>
      <c r="B20" s="12">
        <v>9.94</v>
      </c>
      <c r="C20" s="10"/>
      <c r="D20" s="10"/>
      <c r="E20" s="10"/>
    </row>
    <row r="21" spans="1:6" ht="16.5" customHeight="1" x14ac:dyDescent="0.3">
      <c r="A21" s="7" t="s">
        <v>9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33631471</v>
      </c>
      <c r="C24" s="18">
        <v>6768.4</v>
      </c>
      <c r="D24" s="19">
        <v>1</v>
      </c>
      <c r="E24" s="20">
        <v>5.5</v>
      </c>
    </row>
    <row r="25" spans="1:6" ht="16.5" customHeight="1" x14ac:dyDescent="0.3">
      <c r="A25" s="17">
        <v>2</v>
      </c>
      <c r="B25" s="18">
        <v>33596605</v>
      </c>
      <c r="C25" s="18">
        <v>6799.2</v>
      </c>
      <c r="D25" s="19">
        <v>1</v>
      </c>
      <c r="E25" s="19">
        <v>5.5</v>
      </c>
    </row>
    <row r="26" spans="1:6" ht="16.5" customHeight="1" x14ac:dyDescent="0.3">
      <c r="A26" s="17">
        <v>3</v>
      </c>
      <c r="B26" s="18">
        <v>33634237</v>
      </c>
      <c r="C26" s="18">
        <v>6817.6</v>
      </c>
      <c r="D26" s="19">
        <v>1</v>
      </c>
      <c r="E26" s="19">
        <v>5.5</v>
      </c>
    </row>
    <row r="27" spans="1:6" ht="16.5" customHeight="1" x14ac:dyDescent="0.3">
      <c r="A27" s="17">
        <v>4</v>
      </c>
      <c r="B27" s="18">
        <v>33589750</v>
      </c>
      <c r="C27" s="18">
        <v>6845.4</v>
      </c>
      <c r="D27" s="19">
        <v>1</v>
      </c>
      <c r="E27" s="19">
        <v>5.5</v>
      </c>
    </row>
    <row r="28" spans="1:6" ht="16.5" customHeight="1" x14ac:dyDescent="0.3">
      <c r="A28" s="17">
        <v>5</v>
      </c>
      <c r="B28" s="18">
        <v>33649400</v>
      </c>
      <c r="C28" s="18">
        <v>6850</v>
      </c>
      <c r="D28" s="19">
        <v>1</v>
      </c>
      <c r="E28" s="19">
        <v>5.5</v>
      </c>
    </row>
    <row r="29" spans="1:6" ht="16.5" customHeight="1" x14ac:dyDescent="0.3">
      <c r="A29" s="17">
        <v>6</v>
      </c>
      <c r="B29" s="21">
        <v>33636243</v>
      </c>
      <c r="C29" s="21">
        <v>3854.2</v>
      </c>
      <c r="D29" s="22">
        <v>1</v>
      </c>
      <c r="E29" s="22">
        <v>5.5</v>
      </c>
    </row>
    <row r="30" spans="1:6" ht="16.5" customHeight="1" x14ac:dyDescent="0.3">
      <c r="A30" s="23" t="s">
        <v>16</v>
      </c>
      <c r="B30" s="24">
        <f>AVERAGE(B24:B29)</f>
        <v>33622951</v>
      </c>
      <c r="C30" s="25">
        <f>AVERAGE(C24:C29)</f>
        <v>6322.4666666666662</v>
      </c>
      <c r="D30" s="26">
        <f>AVERAGE(D24:D29)</f>
        <v>1</v>
      </c>
      <c r="E30" s="26">
        <f>AVERAGE(E24:E29)</f>
        <v>5.5</v>
      </c>
    </row>
    <row r="31" spans="1:6" ht="16.5" customHeight="1" x14ac:dyDescent="0.3">
      <c r="A31" s="27" t="s">
        <v>17</v>
      </c>
      <c r="B31" s="28">
        <f>(STDEV(B24:B29)/B30)</f>
        <v>7.1288166008709269E-4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7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33631471</v>
      </c>
      <c r="C45" s="18">
        <v>6768.4</v>
      </c>
      <c r="D45" s="19">
        <v>1</v>
      </c>
      <c r="E45" s="20">
        <v>5.5</v>
      </c>
    </row>
    <row r="46" spans="1:6" ht="16.5" customHeight="1" x14ac:dyDescent="0.3">
      <c r="A46" s="17">
        <v>2</v>
      </c>
      <c r="B46" s="18">
        <v>33596605</v>
      </c>
      <c r="C46" s="18">
        <v>6799.2</v>
      </c>
      <c r="D46" s="19">
        <v>1</v>
      </c>
      <c r="E46" s="19">
        <v>5.5</v>
      </c>
    </row>
    <row r="47" spans="1:6" ht="16.5" customHeight="1" x14ac:dyDescent="0.3">
      <c r="A47" s="17">
        <v>3</v>
      </c>
      <c r="B47" s="18">
        <v>33634237</v>
      </c>
      <c r="C47" s="18">
        <v>6817.6</v>
      </c>
      <c r="D47" s="19">
        <v>1</v>
      </c>
      <c r="E47" s="19">
        <v>5.5</v>
      </c>
    </row>
    <row r="48" spans="1:6" ht="16.5" customHeight="1" x14ac:dyDescent="0.3">
      <c r="A48" s="17">
        <v>4</v>
      </c>
      <c r="B48" s="18">
        <v>33589750</v>
      </c>
      <c r="C48" s="18">
        <v>6845.4</v>
      </c>
      <c r="D48" s="19">
        <v>1</v>
      </c>
      <c r="E48" s="19">
        <v>5.5</v>
      </c>
    </row>
    <row r="49" spans="1:7" ht="16.5" customHeight="1" x14ac:dyDescent="0.3">
      <c r="A49" s="17">
        <v>5</v>
      </c>
      <c r="B49" s="18">
        <v>33649400</v>
      </c>
      <c r="C49" s="18">
        <v>6850</v>
      </c>
      <c r="D49" s="19">
        <v>1</v>
      </c>
      <c r="E49" s="19">
        <v>5.5</v>
      </c>
    </row>
    <row r="50" spans="1:7" ht="16.5" customHeight="1" x14ac:dyDescent="0.3">
      <c r="A50" s="17">
        <v>6</v>
      </c>
      <c r="B50" s="21">
        <v>33636243</v>
      </c>
      <c r="C50" s="21">
        <v>3854.2</v>
      </c>
      <c r="D50" s="22">
        <v>1</v>
      </c>
      <c r="E50" s="22">
        <v>5.5</v>
      </c>
    </row>
    <row r="51" spans="1:7" ht="16.5" customHeight="1" x14ac:dyDescent="0.3">
      <c r="A51" s="23" t="s">
        <v>16</v>
      </c>
      <c r="B51" s="24">
        <f>AVERAGE(B45:B50)</f>
        <v>33622951</v>
      </c>
      <c r="C51" s="25">
        <f>AVERAGE(C45:C50)</f>
        <v>6322.4666666666662</v>
      </c>
      <c r="D51" s="26">
        <f>AVERAGE(D45:D50)</f>
        <v>1</v>
      </c>
      <c r="E51" s="26">
        <f>AVERAGE(E45:E50)</f>
        <v>5.5</v>
      </c>
    </row>
    <row r="52" spans="1:7" ht="16.5" customHeight="1" x14ac:dyDescent="0.3">
      <c r="A52" s="27" t="s">
        <v>17</v>
      </c>
      <c r="B52" s="28">
        <f>(STDEV(B45:B50)/B51)</f>
        <v>7.1288166008709269E-4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2" t="s">
        <v>24</v>
      </c>
      <c r="C59" s="462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57" t="s">
        <v>121</v>
      </c>
      <c r="C60" s="48"/>
      <c r="E60" s="458">
        <v>42284</v>
      </c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C60" sqref="C6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6" t="s">
        <v>29</v>
      </c>
      <c r="B11" s="467"/>
      <c r="C11" s="467"/>
      <c r="D11" s="467"/>
      <c r="E11" s="467"/>
      <c r="F11" s="468"/>
      <c r="G11" s="90"/>
    </row>
    <row r="12" spans="1:7" ht="16.5" customHeight="1" x14ac:dyDescent="0.3">
      <c r="A12" s="465" t="s">
        <v>30</v>
      </c>
      <c r="B12" s="465"/>
      <c r="C12" s="465"/>
      <c r="D12" s="465"/>
      <c r="E12" s="465"/>
      <c r="F12" s="465"/>
      <c r="G12" s="89"/>
    </row>
    <row r="14" spans="1:7" ht="16.5" customHeight="1" x14ac:dyDescent="0.3">
      <c r="A14" s="470" t="s">
        <v>31</v>
      </c>
      <c r="B14" s="470"/>
      <c r="C14" s="60" t="s">
        <v>5</v>
      </c>
    </row>
    <row r="15" spans="1:7" ht="16.5" customHeight="1" x14ac:dyDescent="0.3">
      <c r="A15" s="470" t="s">
        <v>32</v>
      </c>
      <c r="B15" s="470"/>
      <c r="C15" s="60" t="s">
        <v>123</v>
      </c>
    </row>
    <row r="16" spans="1:7" ht="16.5" customHeight="1" x14ac:dyDescent="0.3">
      <c r="A16" s="470" t="s">
        <v>33</v>
      </c>
      <c r="B16" s="470"/>
      <c r="C16" s="60" t="s">
        <v>8</v>
      </c>
    </row>
    <row r="17" spans="1:5" ht="16.5" customHeight="1" x14ac:dyDescent="0.3">
      <c r="A17" s="470" t="s">
        <v>34</v>
      </c>
      <c r="B17" s="470"/>
      <c r="C17" s="60" t="s">
        <v>8</v>
      </c>
    </row>
    <row r="18" spans="1:5" ht="16.5" customHeight="1" x14ac:dyDescent="0.3">
      <c r="A18" s="470" t="s">
        <v>35</v>
      </c>
      <c r="B18" s="470"/>
      <c r="C18" s="96" t="s">
        <v>10</v>
      </c>
    </row>
    <row r="19" spans="1:5" ht="16.5" customHeight="1" x14ac:dyDescent="0.3">
      <c r="A19" s="470" t="s">
        <v>36</v>
      </c>
      <c r="B19" s="470"/>
      <c r="C19" s="96" t="e">
        <f>#REF!</f>
        <v>#REF!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465" t="s">
        <v>1</v>
      </c>
      <c r="B21" s="465"/>
      <c r="C21" s="59" t="s">
        <v>37</v>
      </c>
      <c r="D21" s="66"/>
    </row>
    <row r="22" spans="1:5" ht="15.75" customHeight="1" x14ac:dyDescent="0.3">
      <c r="A22" s="469"/>
      <c r="B22" s="469"/>
      <c r="C22" s="57"/>
      <c r="D22" s="469"/>
      <c r="E22" s="469"/>
    </row>
    <row r="23" spans="1:5" ht="33.75" customHeight="1" x14ac:dyDescent="0.3">
      <c r="C23" s="85" t="s">
        <v>38</v>
      </c>
      <c r="D23" s="84" t="s">
        <v>39</v>
      </c>
      <c r="E23" s="52"/>
    </row>
    <row r="24" spans="1:5" ht="15.75" customHeight="1" x14ac:dyDescent="0.3">
      <c r="C24" s="94">
        <v>1968.93</v>
      </c>
      <c r="D24" s="86">
        <f t="shared" ref="D24:D43" si="0">(C24-$C$46)/$C$46</f>
        <v>-2.0352817652592031E-3</v>
      </c>
      <c r="E24" s="53"/>
    </row>
    <row r="25" spans="1:5" ht="15.75" customHeight="1" x14ac:dyDescent="0.3">
      <c r="C25" s="94">
        <v>1968.88</v>
      </c>
      <c r="D25" s="87">
        <f t="shared" si="0"/>
        <v>-2.0606245839026754E-3</v>
      </c>
      <c r="E25" s="53"/>
    </row>
    <row r="26" spans="1:5" ht="15.75" customHeight="1" x14ac:dyDescent="0.3">
      <c r="C26" s="94">
        <v>1956.42</v>
      </c>
      <c r="D26" s="87">
        <f t="shared" si="0"/>
        <v>-8.3760549898617021E-3</v>
      </c>
      <c r="E26" s="53"/>
    </row>
    <row r="27" spans="1:5" ht="15.75" customHeight="1" x14ac:dyDescent="0.3">
      <c r="C27" s="94">
        <v>1988.49</v>
      </c>
      <c r="D27" s="87">
        <f t="shared" si="0"/>
        <v>7.8788288880760979E-3</v>
      </c>
      <c r="E27" s="53"/>
    </row>
    <row r="28" spans="1:5" ht="15.75" customHeight="1" x14ac:dyDescent="0.3">
      <c r="C28" s="94">
        <v>1981.95</v>
      </c>
      <c r="D28" s="87">
        <f t="shared" si="0"/>
        <v>4.5639882095069419E-3</v>
      </c>
      <c r="E28" s="53"/>
    </row>
    <row r="29" spans="1:5" ht="15.75" customHeight="1" x14ac:dyDescent="0.3">
      <c r="C29" s="94">
        <v>1985.14</v>
      </c>
      <c r="D29" s="87">
        <f t="shared" si="0"/>
        <v>6.1808600389619646E-3</v>
      </c>
      <c r="E29" s="53"/>
    </row>
    <row r="30" spans="1:5" ht="15.75" customHeight="1" x14ac:dyDescent="0.3">
      <c r="C30" s="94">
        <v>1976.88</v>
      </c>
      <c r="D30" s="87">
        <f t="shared" si="0"/>
        <v>1.9942263990565595E-3</v>
      </c>
      <c r="E30" s="53"/>
    </row>
    <row r="31" spans="1:5" ht="15.75" customHeight="1" x14ac:dyDescent="0.3">
      <c r="C31" s="94">
        <v>1967.83</v>
      </c>
      <c r="D31" s="87">
        <f t="shared" si="0"/>
        <v>-2.5928237754161672E-3</v>
      </c>
      <c r="E31" s="53"/>
    </row>
    <row r="32" spans="1:5" ht="15.75" customHeight="1" x14ac:dyDescent="0.3">
      <c r="C32" s="94">
        <v>1951.95</v>
      </c>
      <c r="D32" s="87">
        <f t="shared" si="0"/>
        <v>-1.0641702976590188E-2</v>
      </c>
      <c r="E32" s="53"/>
    </row>
    <row r="33" spans="1:7" ht="15.75" customHeight="1" x14ac:dyDescent="0.3">
      <c r="C33" s="94">
        <v>1950.52</v>
      </c>
      <c r="D33" s="87">
        <f>(C33-$C$46)/$C$46</f>
        <v>-1.1366507589794184E-2</v>
      </c>
      <c r="E33" s="53"/>
    </row>
    <row r="34" spans="1:7" ht="15.75" customHeight="1" x14ac:dyDescent="0.3">
      <c r="C34" s="94">
        <v>1968.48</v>
      </c>
      <c r="D34" s="87">
        <f>(C34-$C$46)/$C$46</f>
        <v>-2.2633671330506834E-3</v>
      </c>
      <c r="E34" s="53"/>
    </row>
    <row r="35" spans="1:7" ht="15.75" customHeight="1" x14ac:dyDescent="0.3">
      <c r="C35" s="94">
        <v>1967.5</v>
      </c>
      <c r="D35" s="87">
        <f t="shared" si="0"/>
        <v>-2.7600863784631989E-3</v>
      </c>
      <c r="E35" s="53"/>
    </row>
    <row r="36" spans="1:7" ht="15.75" customHeight="1" x14ac:dyDescent="0.3">
      <c r="C36" s="94">
        <v>2002.71</v>
      </c>
      <c r="D36" s="87">
        <f t="shared" si="0"/>
        <v>1.5086326510286152E-2</v>
      </c>
      <c r="E36" s="53"/>
    </row>
    <row r="37" spans="1:7" ht="15.75" customHeight="1" x14ac:dyDescent="0.3">
      <c r="C37" s="94">
        <v>1989.33</v>
      </c>
      <c r="D37" s="87">
        <f t="shared" si="0"/>
        <v>8.3045882412867769E-3</v>
      </c>
      <c r="E37" s="53"/>
    </row>
    <row r="38" spans="1:7" ht="15.75" customHeight="1" x14ac:dyDescent="0.3">
      <c r="C38" s="94">
        <v>1963.04</v>
      </c>
      <c r="D38" s="87">
        <f t="shared" si="0"/>
        <v>-5.0206658014629903E-3</v>
      </c>
      <c r="E38" s="53"/>
    </row>
    <row r="39" spans="1:7" ht="15.75" customHeight="1" x14ac:dyDescent="0.3">
      <c r="C39" s="94">
        <v>1987.5</v>
      </c>
      <c r="D39" s="87">
        <f t="shared" si="0"/>
        <v>7.3770410789348881E-3</v>
      </c>
      <c r="E39" s="53"/>
    </row>
    <row r="40" spans="1:7" ht="15.75" customHeight="1" x14ac:dyDescent="0.3">
      <c r="C40" s="94">
        <v>2004.69</v>
      </c>
      <c r="D40" s="87">
        <f t="shared" si="0"/>
        <v>1.6089902128568572E-2</v>
      </c>
      <c r="E40" s="53"/>
    </row>
    <row r="41" spans="1:7" ht="15.75" customHeight="1" x14ac:dyDescent="0.3">
      <c r="C41" s="94">
        <v>1946.25</v>
      </c>
      <c r="D41" s="87">
        <f t="shared" si="0"/>
        <v>-1.3530784301948666E-2</v>
      </c>
      <c r="E41" s="53"/>
    </row>
    <row r="42" spans="1:7" ht="15.75" customHeight="1" x14ac:dyDescent="0.3">
      <c r="C42" s="94">
        <v>1978.41</v>
      </c>
      <c r="D42" s="87">
        <f t="shared" si="0"/>
        <v>2.7697166495474993E-3</v>
      </c>
      <c r="E42" s="53"/>
    </row>
    <row r="43" spans="1:7" ht="16.5" customHeight="1" x14ac:dyDescent="0.3">
      <c r="C43" s="95">
        <v>1954.01</v>
      </c>
      <c r="D43" s="88">
        <f t="shared" si="0"/>
        <v>-9.5975788484782137E-3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40</v>
      </c>
      <c r="C45" s="82">
        <f>SUM(C24:C44)</f>
        <v>39458.910000000003</v>
      </c>
      <c r="D45" s="77"/>
      <c r="E45" s="54"/>
    </row>
    <row r="46" spans="1:7" ht="17.25" customHeight="1" x14ac:dyDescent="0.3">
      <c r="B46" s="81" t="s">
        <v>41</v>
      </c>
      <c r="C46" s="83">
        <f>AVERAGE(C24:C44)</f>
        <v>1972.9455000000003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41</v>
      </c>
      <c r="C48" s="84" t="s">
        <v>42</v>
      </c>
      <c r="D48" s="79"/>
      <c r="G48" s="58"/>
    </row>
    <row r="49" spans="1:6" ht="17.25" customHeight="1" x14ac:dyDescent="0.3">
      <c r="B49" s="463">
        <f>C46</f>
        <v>1972.9455000000003</v>
      </c>
      <c r="C49" s="92">
        <f>-IF(C46&lt;=80,10%,IF(C46&lt;250,7.5%,5%))</f>
        <v>-0.05</v>
      </c>
      <c r="D49" s="80">
        <f>IF(C46&lt;=80,C46*0.9,IF(C46&lt;250,C46*0.925,C46*0.95))</f>
        <v>1874.2982250000002</v>
      </c>
    </row>
    <row r="50" spans="1:6" ht="17.25" customHeight="1" x14ac:dyDescent="0.3">
      <c r="B50" s="464"/>
      <c r="C50" s="93">
        <f>IF(C46&lt;=80, 10%, IF(C46&lt;250, 7.5%, 5%))</f>
        <v>0.05</v>
      </c>
      <c r="D50" s="80">
        <f>IF(C46&lt;=80, C46*1.1, IF(C46&lt;250, C46*1.075, C46*1.05))</f>
        <v>2071.5927750000005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459" t="s">
        <v>122</v>
      </c>
      <c r="C53" s="71"/>
      <c r="D53" s="460">
        <v>42284</v>
      </c>
      <c r="E53" s="61"/>
      <c r="F53" s="72"/>
    </row>
    <row r="54" spans="1:6" ht="34.5" customHeight="1" x14ac:dyDescent="0.3">
      <c r="A54" s="70" t="s">
        <v>28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Layout" topLeftCell="B24" zoomScale="55" zoomScaleNormal="75" zoomScalePageLayoutView="55" workbookViewId="0">
      <selection activeCell="D60" sqref="D60:D63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471" t="s">
        <v>43</v>
      </c>
      <c r="B1" s="471"/>
      <c r="C1" s="471"/>
      <c r="D1" s="471"/>
      <c r="E1" s="471"/>
      <c r="F1" s="471"/>
      <c r="G1" s="471"/>
      <c r="H1" s="471"/>
    </row>
    <row r="2" spans="1:8" x14ac:dyDescent="0.25">
      <c r="A2" s="471"/>
      <c r="B2" s="471"/>
      <c r="C2" s="471"/>
      <c r="D2" s="471"/>
      <c r="E2" s="471"/>
      <c r="F2" s="471"/>
      <c r="G2" s="471"/>
      <c r="H2" s="471"/>
    </row>
    <row r="3" spans="1:8" x14ac:dyDescent="0.25">
      <c r="A3" s="471"/>
      <c r="B3" s="471"/>
      <c r="C3" s="471"/>
      <c r="D3" s="471"/>
      <c r="E3" s="471"/>
      <c r="F3" s="471"/>
      <c r="G3" s="471"/>
      <c r="H3" s="471"/>
    </row>
    <row r="4" spans="1:8" x14ac:dyDescent="0.25">
      <c r="A4" s="471"/>
      <c r="B4" s="471"/>
      <c r="C4" s="471"/>
      <c r="D4" s="471"/>
      <c r="E4" s="471"/>
      <c r="F4" s="471"/>
      <c r="G4" s="471"/>
      <c r="H4" s="471"/>
    </row>
    <row r="5" spans="1:8" x14ac:dyDescent="0.25">
      <c r="A5" s="471"/>
      <c r="B5" s="471"/>
      <c r="C5" s="471"/>
      <c r="D5" s="471"/>
      <c r="E5" s="471"/>
      <c r="F5" s="471"/>
      <c r="G5" s="471"/>
      <c r="H5" s="471"/>
    </row>
    <row r="6" spans="1:8" x14ac:dyDescent="0.25">
      <c r="A6" s="471"/>
      <c r="B6" s="471"/>
      <c r="C6" s="471"/>
      <c r="D6" s="471"/>
      <c r="E6" s="471"/>
      <c r="F6" s="471"/>
      <c r="G6" s="471"/>
      <c r="H6" s="471"/>
    </row>
    <row r="7" spans="1:8" x14ac:dyDescent="0.25">
      <c r="A7" s="471"/>
      <c r="B7" s="471"/>
      <c r="C7" s="471"/>
      <c r="D7" s="471"/>
      <c r="E7" s="471"/>
      <c r="F7" s="471"/>
      <c r="G7" s="471"/>
      <c r="H7" s="471"/>
    </row>
    <row r="8" spans="1:8" x14ac:dyDescent="0.25">
      <c r="A8" s="472" t="s">
        <v>44</v>
      </c>
      <c r="B8" s="472"/>
      <c r="C8" s="472"/>
      <c r="D8" s="472"/>
      <c r="E8" s="472"/>
      <c r="F8" s="472"/>
      <c r="G8" s="472"/>
      <c r="H8" s="472"/>
    </row>
    <row r="9" spans="1:8" x14ac:dyDescent="0.25">
      <c r="A9" s="472"/>
      <c r="B9" s="472"/>
      <c r="C9" s="472"/>
      <c r="D9" s="472"/>
      <c r="E9" s="472"/>
      <c r="F9" s="472"/>
      <c r="G9" s="472"/>
      <c r="H9" s="472"/>
    </row>
    <row r="10" spans="1:8" x14ac:dyDescent="0.25">
      <c r="A10" s="472"/>
      <c r="B10" s="472"/>
      <c r="C10" s="472"/>
      <c r="D10" s="472"/>
      <c r="E10" s="472"/>
      <c r="F10" s="472"/>
      <c r="G10" s="472"/>
      <c r="H10" s="472"/>
    </row>
    <row r="11" spans="1:8" x14ac:dyDescent="0.25">
      <c r="A11" s="472"/>
      <c r="B11" s="472"/>
      <c r="C11" s="472"/>
      <c r="D11" s="472"/>
      <c r="E11" s="472"/>
      <c r="F11" s="472"/>
      <c r="G11" s="472"/>
      <c r="H11" s="472"/>
    </row>
    <row r="12" spans="1:8" x14ac:dyDescent="0.25">
      <c r="A12" s="472"/>
      <c r="B12" s="472"/>
      <c r="C12" s="472"/>
      <c r="D12" s="472"/>
      <c r="E12" s="472"/>
      <c r="F12" s="472"/>
      <c r="G12" s="472"/>
      <c r="H12" s="472"/>
    </row>
    <row r="13" spans="1:8" x14ac:dyDescent="0.25">
      <c r="A13" s="472"/>
      <c r="B13" s="472"/>
      <c r="C13" s="472"/>
      <c r="D13" s="472"/>
      <c r="E13" s="472"/>
      <c r="F13" s="472"/>
      <c r="G13" s="472"/>
      <c r="H13" s="472"/>
    </row>
    <row r="14" spans="1:8" x14ac:dyDescent="0.25">
      <c r="A14" s="472"/>
      <c r="B14" s="472"/>
      <c r="C14" s="472"/>
      <c r="D14" s="472"/>
      <c r="E14" s="472"/>
      <c r="F14" s="472"/>
      <c r="G14" s="472"/>
      <c r="H14" s="472"/>
    </row>
    <row r="15" spans="1:8" ht="19.5" customHeight="1" x14ac:dyDescent="0.25"/>
    <row r="16" spans="1:8" ht="19.5" customHeight="1" x14ac:dyDescent="0.25">
      <c r="A16" s="473" t="s">
        <v>29</v>
      </c>
      <c r="B16" s="474"/>
      <c r="C16" s="474"/>
      <c r="D16" s="474"/>
      <c r="E16" s="474"/>
      <c r="F16" s="474"/>
      <c r="G16" s="474"/>
      <c r="H16" s="475"/>
    </row>
    <row r="17" spans="1:13" ht="18.75" x14ac:dyDescent="0.3">
      <c r="A17" s="97" t="s">
        <v>45</v>
      </c>
      <c r="B17" s="97"/>
    </row>
    <row r="18" spans="1:13" ht="18.75" x14ac:dyDescent="0.3">
      <c r="A18" s="99" t="s">
        <v>31</v>
      </c>
      <c r="B18" s="481" t="s">
        <v>5</v>
      </c>
      <c r="C18" s="481"/>
      <c r="D18" s="190"/>
      <c r="E18" s="190"/>
    </row>
    <row r="19" spans="1:13" ht="18.75" x14ac:dyDescent="0.3">
      <c r="A19" s="99" t="s">
        <v>32</v>
      </c>
      <c r="B19" s="191" t="s">
        <v>124</v>
      </c>
      <c r="C19" s="273">
        <v>15</v>
      </c>
    </row>
    <row r="20" spans="1:13" ht="18.75" x14ac:dyDescent="0.3">
      <c r="A20" s="99" t="s">
        <v>33</v>
      </c>
      <c r="B20" s="452" t="s">
        <v>115</v>
      </c>
    </row>
    <row r="21" spans="1:13" ht="18.75" x14ac:dyDescent="0.3">
      <c r="A21" s="99" t="s">
        <v>34</v>
      </c>
      <c r="B21" s="453" t="s">
        <v>118</v>
      </c>
      <c r="C21" s="215"/>
      <c r="D21" s="215"/>
      <c r="E21" s="215"/>
      <c r="F21" s="215"/>
      <c r="G21" s="215"/>
      <c r="H21" s="215"/>
    </row>
    <row r="22" spans="1:13" ht="18.75" x14ac:dyDescent="0.3">
      <c r="A22" s="99" t="s">
        <v>35</v>
      </c>
      <c r="B22" s="192">
        <v>42192</v>
      </c>
    </row>
    <row r="23" spans="1:13" ht="18.75" x14ac:dyDescent="0.3">
      <c r="A23" s="99" t="s">
        <v>36</v>
      </c>
      <c r="B23" s="192">
        <v>42195</v>
      </c>
    </row>
    <row r="24" spans="1:13" ht="18.75" x14ac:dyDescent="0.3">
      <c r="A24" s="99"/>
      <c r="B24" s="102"/>
    </row>
    <row r="25" spans="1:13" ht="18.75" x14ac:dyDescent="0.3">
      <c r="A25" s="103" t="s">
        <v>1</v>
      </c>
      <c r="B25" s="102"/>
    </row>
    <row r="26" spans="1:13" ht="26.25" customHeight="1" x14ac:dyDescent="0.4">
      <c r="A26" s="104" t="s">
        <v>4</v>
      </c>
      <c r="B26" s="480" t="s">
        <v>115</v>
      </c>
      <c r="C26" s="479"/>
    </row>
    <row r="27" spans="1:13" ht="26.25" customHeight="1" x14ac:dyDescent="0.4">
      <c r="A27" s="106" t="s">
        <v>46</v>
      </c>
      <c r="B27" s="454" t="s">
        <v>120</v>
      </c>
    </row>
    <row r="28" spans="1:13" ht="27" customHeight="1" x14ac:dyDescent="0.4">
      <c r="A28" s="106" t="s">
        <v>6</v>
      </c>
      <c r="B28" s="245">
        <v>99.3</v>
      </c>
    </row>
    <row r="29" spans="1:13" s="11" customFormat="1" ht="27" customHeight="1" x14ac:dyDescent="0.4">
      <c r="A29" s="106" t="s">
        <v>47</v>
      </c>
      <c r="B29" s="244">
        <v>0</v>
      </c>
      <c r="C29" s="490" t="s">
        <v>48</v>
      </c>
      <c r="D29" s="491"/>
      <c r="E29" s="491"/>
      <c r="F29" s="491"/>
      <c r="G29" s="492"/>
      <c r="I29" s="108"/>
      <c r="J29" s="108"/>
      <c r="K29" s="108"/>
    </row>
    <row r="30" spans="1:13" s="11" customFormat="1" ht="19.5" customHeight="1" x14ac:dyDescent="0.3">
      <c r="A30" s="106" t="s">
        <v>49</v>
      </c>
      <c r="B30" s="105">
        <f>B28-B29</f>
        <v>99.3</v>
      </c>
      <c r="C30" s="109"/>
      <c r="D30" s="109"/>
      <c r="E30" s="109"/>
      <c r="F30" s="109"/>
      <c r="G30" s="110"/>
      <c r="I30" s="108"/>
      <c r="J30" s="108"/>
      <c r="K30" s="108"/>
    </row>
    <row r="31" spans="1:13" s="11" customFormat="1" ht="27" customHeight="1" x14ac:dyDescent="0.4">
      <c r="A31" s="106" t="s">
        <v>50</v>
      </c>
      <c r="B31" s="246">
        <v>1</v>
      </c>
      <c r="C31" s="476" t="s">
        <v>51</v>
      </c>
      <c r="D31" s="477"/>
      <c r="E31" s="477"/>
      <c r="F31" s="477"/>
      <c r="G31" s="477"/>
      <c r="H31" s="478"/>
      <c r="I31" s="108"/>
      <c r="J31" s="108"/>
      <c r="K31" s="108"/>
    </row>
    <row r="32" spans="1:13" s="11" customFormat="1" ht="27" customHeight="1" x14ac:dyDescent="0.4">
      <c r="A32" s="106" t="s">
        <v>52</v>
      </c>
      <c r="B32" s="246">
        <v>1</v>
      </c>
      <c r="C32" s="476" t="s">
        <v>53</v>
      </c>
      <c r="D32" s="477"/>
      <c r="E32" s="477"/>
      <c r="F32" s="477"/>
      <c r="G32" s="477"/>
      <c r="H32" s="478"/>
      <c r="I32" s="108"/>
      <c r="J32" s="108"/>
      <c r="K32" s="112"/>
      <c r="L32" s="112"/>
      <c r="M32" s="113"/>
    </row>
    <row r="33" spans="1:13" s="11" customFormat="1" ht="17.25" customHeight="1" x14ac:dyDescent="0.3">
      <c r="A33" s="106"/>
      <c r="B33" s="111"/>
      <c r="C33" s="114"/>
      <c r="D33" s="114"/>
      <c r="E33" s="114"/>
      <c r="F33" s="114"/>
      <c r="G33" s="114"/>
      <c r="H33" s="114"/>
      <c r="I33" s="108"/>
      <c r="J33" s="108"/>
      <c r="K33" s="112"/>
      <c r="L33" s="112"/>
      <c r="M33" s="113"/>
    </row>
    <row r="34" spans="1:13" s="11" customFormat="1" ht="18.75" x14ac:dyDescent="0.3">
      <c r="A34" s="106" t="s">
        <v>54</v>
      </c>
      <c r="B34" s="115">
        <f>B31/B32</f>
        <v>1</v>
      </c>
      <c r="C34" s="98" t="s">
        <v>55</v>
      </c>
      <c r="D34" s="98"/>
      <c r="E34" s="98"/>
      <c r="F34" s="98"/>
      <c r="G34" s="98"/>
      <c r="I34" s="108"/>
      <c r="J34" s="108"/>
      <c r="K34" s="112"/>
      <c r="L34" s="112"/>
      <c r="M34" s="113"/>
    </row>
    <row r="35" spans="1:13" s="11" customFormat="1" ht="19.5" customHeight="1" x14ac:dyDescent="0.3">
      <c r="A35" s="106"/>
      <c r="B35" s="105"/>
      <c r="G35" s="98"/>
      <c r="I35" s="108"/>
      <c r="J35" s="108"/>
      <c r="K35" s="112"/>
      <c r="L35" s="112"/>
      <c r="M35" s="113"/>
    </row>
    <row r="36" spans="1:13" s="11" customFormat="1" ht="27" customHeight="1" x14ac:dyDescent="0.4">
      <c r="A36" s="116" t="s">
        <v>56</v>
      </c>
      <c r="B36" s="247">
        <v>50</v>
      </c>
      <c r="C36" s="98"/>
      <c r="D36" s="482" t="s">
        <v>57</v>
      </c>
      <c r="E36" s="506"/>
      <c r="F36" s="482" t="s">
        <v>58</v>
      </c>
      <c r="G36" s="483"/>
      <c r="I36" s="108"/>
      <c r="J36" s="108"/>
      <c r="K36" s="112"/>
      <c r="L36" s="112"/>
      <c r="M36" s="113"/>
    </row>
    <row r="37" spans="1:13" s="11" customFormat="1" ht="26.25" customHeight="1" x14ac:dyDescent="0.4">
      <c r="A37" s="117" t="s">
        <v>59</v>
      </c>
      <c r="B37" s="248">
        <v>3</v>
      </c>
      <c r="C37" s="119" t="s">
        <v>60</v>
      </c>
      <c r="D37" s="120" t="s">
        <v>61</v>
      </c>
      <c r="E37" s="177" t="s">
        <v>62</v>
      </c>
      <c r="F37" s="120" t="s">
        <v>61</v>
      </c>
      <c r="G37" s="121" t="s">
        <v>62</v>
      </c>
      <c r="I37" s="108"/>
      <c r="J37" s="108"/>
      <c r="K37" s="112"/>
      <c r="L37" s="112"/>
      <c r="M37" s="113"/>
    </row>
    <row r="38" spans="1:13" s="11" customFormat="1" ht="26.25" customHeight="1" x14ac:dyDescent="0.4">
      <c r="A38" s="117" t="s">
        <v>63</v>
      </c>
      <c r="B38" s="248">
        <v>10</v>
      </c>
      <c r="C38" s="122">
        <v>1</v>
      </c>
      <c r="D38" s="249">
        <v>33636351</v>
      </c>
      <c r="E38" s="193">
        <f>IF(ISBLANK(D38),"-",$D$48/$D$45*D38)</f>
        <v>34077932.853921108</v>
      </c>
      <c r="F38" s="249">
        <v>31020786</v>
      </c>
      <c r="G38" s="196">
        <f>IF(ISBLANK(F38),"-",$D$48/$F$45*F38)</f>
        <v>34366845.143728875</v>
      </c>
      <c r="I38" s="108"/>
      <c r="J38" s="108"/>
      <c r="K38" s="112"/>
      <c r="L38" s="112"/>
      <c r="M38" s="113"/>
    </row>
    <row r="39" spans="1:13" s="11" customFormat="1" ht="26.25" customHeight="1" x14ac:dyDescent="0.4">
      <c r="A39" s="117" t="s">
        <v>64</v>
      </c>
      <c r="B39" s="248">
        <v>1</v>
      </c>
      <c r="C39" s="118">
        <v>2</v>
      </c>
      <c r="D39" s="250">
        <v>33678985</v>
      </c>
      <c r="E39" s="194">
        <f>IF(ISBLANK(D39),"-",$D$48/$D$45*D39)</f>
        <v>34121126.557937756</v>
      </c>
      <c r="F39" s="250">
        <v>31042479</v>
      </c>
      <c r="G39" s="197">
        <f>IF(ISBLANK(F39),"-",$D$48/$F$45*F39)</f>
        <v>34390878.060615733</v>
      </c>
      <c r="I39" s="108"/>
      <c r="J39" s="108"/>
      <c r="K39" s="112"/>
      <c r="L39" s="112"/>
      <c r="M39" s="113"/>
    </row>
    <row r="40" spans="1:13" ht="26.25" customHeight="1" x14ac:dyDescent="0.4">
      <c r="A40" s="117" t="s">
        <v>65</v>
      </c>
      <c r="B40" s="248">
        <v>1</v>
      </c>
      <c r="C40" s="118">
        <v>3</v>
      </c>
      <c r="D40" s="250">
        <v>33391724</v>
      </c>
      <c r="E40" s="194">
        <f>IF(ISBLANK(D40),"-",$D$48/$D$45*D40)</f>
        <v>33830094.362752549</v>
      </c>
      <c r="F40" s="250">
        <v>31036958</v>
      </c>
      <c r="G40" s="197">
        <f>IF(ISBLANK(F40),"-",$D$48/$F$45*F40)</f>
        <v>34384761.537583768</v>
      </c>
      <c r="K40" s="112"/>
      <c r="L40" s="112"/>
      <c r="M40" s="124"/>
    </row>
    <row r="41" spans="1:13" ht="26.25" customHeight="1" x14ac:dyDescent="0.4">
      <c r="A41" s="117" t="s">
        <v>66</v>
      </c>
      <c r="B41" s="248">
        <v>1</v>
      </c>
      <c r="C41" s="125">
        <v>4</v>
      </c>
      <c r="D41" s="251"/>
      <c r="E41" s="195" t="str">
        <f>IF(ISBLANK(D41),"-",$D$48/$D$45*D41)</f>
        <v>-</v>
      </c>
      <c r="F41" s="251"/>
      <c r="G41" s="198" t="str">
        <f>IF(ISBLANK(F41),"-",$D$48/$F$45*F41)</f>
        <v>-</v>
      </c>
      <c r="K41" s="112"/>
      <c r="L41" s="112"/>
      <c r="M41" s="124"/>
    </row>
    <row r="42" spans="1:13" ht="27" customHeight="1" x14ac:dyDescent="0.4">
      <c r="A42" s="117" t="s">
        <v>67</v>
      </c>
      <c r="B42" s="248">
        <v>1</v>
      </c>
      <c r="C42" s="127" t="s">
        <v>68</v>
      </c>
      <c r="D42" s="226">
        <f>AVERAGE(D38:D41)</f>
        <v>33569020</v>
      </c>
      <c r="E42" s="152">
        <f>AVERAGE(E38:E41)</f>
        <v>34009717.924870469</v>
      </c>
      <c r="F42" s="128">
        <f>AVERAGE(F38:F41)</f>
        <v>31033407.666666668</v>
      </c>
      <c r="G42" s="129">
        <f>AVERAGE(G38:G41)</f>
        <v>34380828.247309454</v>
      </c>
      <c r="H42" s="212"/>
    </row>
    <row r="43" spans="1:13" ht="26.25" customHeight="1" x14ac:dyDescent="0.4">
      <c r="A43" s="117" t="s">
        <v>69</v>
      </c>
      <c r="B43" s="245">
        <v>1</v>
      </c>
      <c r="C43" s="227" t="s">
        <v>70</v>
      </c>
      <c r="D43" s="252">
        <v>9.94</v>
      </c>
      <c r="E43" s="124"/>
      <c r="F43" s="253">
        <v>9.09</v>
      </c>
      <c r="H43" s="212"/>
    </row>
    <row r="44" spans="1:13" ht="26.25" customHeight="1" x14ac:dyDescent="0.4">
      <c r="A44" s="117" t="s">
        <v>71</v>
      </c>
      <c r="B44" s="245">
        <v>1</v>
      </c>
      <c r="C44" s="228" t="s">
        <v>72</v>
      </c>
      <c r="D44" s="229">
        <f>D43*$B$34</f>
        <v>9.94</v>
      </c>
      <c r="E44" s="131"/>
      <c r="F44" s="130">
        <f>F43*$B$34</f>
        <v>9.09</v>
      </c>
      <c r="H44" s="212"/>
    </row>
    <row r="45" spans="1:13" ht="19.5" customHeight="1" x14ac:dyDescent="0.3">
      <c r="A45" s="117" t="s">
        <v>73</v>
      </c>
      <c r="B45" s="225">
        <f>(B44/B43)*(B42/B41)*(B40/B39)*(B38/B37)*B36</f>
        <v>166.66666666666669</v>
      </c>
      <c r="C45" s="228" t="s">
        <v>74</v>
      </c>
      <c r="D45" s="230">
        <f>D44*$B$30/100</f>
        <v>9.8704199999999993</v>
      </c>
      <c r="E45" s="133"/>
      <c r="F45" s="132">
        <f>F44*$B$30/100</f>
        <v>9.02637</v>
      </c>
      <c r="H45" s="212"/>
    </row>
    <row r="46" spans="1:13" ht="19.5" customHeight="1" x14ac:dyDescent="0.3">
      <c r="A46" s="484" t="s">
        <v>75</v>
      </c>
      <c r="B46" s="485"/>
      <c r="C46" s="228" t="s">
        <v>76</v>
      </c>
      <c r="D46" s="229">
        <f>D45/$B$45</f>
        <v>5.9222519999999987E-2</v>
      </c>
      <c r="E46" s="133"/>
      <c r="F46" s="134">
        <f>F45/$B$45</f>
        <v>5.4158219999999993E-2</v>
      </c>
      <c r="H46" s="212"/>
    </row>
    <row r="47" spans="1:13" ht="27" customHeight="1" x14ac:dyDescent="0.4">
      <c r="A47" s="486"/>
      <c r="B47" s="487"/>
      <c r="C47" s="228" t="s">
        <v>77</v>
      </c>
      <c r="D47" s="254">
        <v>0.06</v>
      </c>
      <c r="F47" s="136"/>
      <c r="H47" s="212"/>
    </row>
    <row r="48" spans="1:13" ht="18.75" x14ac:dyDescent="0.3">
      <c r="C48" s="228" t="s">
        <v>78</v>
      </c>
      <c r="D48" s="229">
        <f>D47*$B$45</f>
        <v>10</v>
      </c>
      <c r="F48" s="136"/>
      <c r="H48" s="212"/>
    </row>
    <row r="49" spans="1:11" ht="19.5" customHeight="1" x14ac:dyDescent="0.3">
      <c r="C49" s="231" t="s">
        <v>79</v>
      </c>
      <c r="D49" s="232">
        <f>D48/B34</f>
        <v>10</v>
      </c>
      <c r="F49" s="139"/>
      <c r="H49" s="212"/>
    </row>
    <row r="50" spans="1:11" ht="18.75" x14ac:dyDescent="0.3">
      <c r="C50" s="233" t="s">
        <v>80</v>
      </c>
      <c r="D50" s="234">
        <f>AVERAGE(E38:E41,G38:G41)</f>
        <v>34195273.086089969</v>
      </c>
      <c r="F50" s="139"/>
      <c r="H50" s="212"/>
    </row>
    <row r="51" spans="1:11" ht="18.75" x14ac:dyDescent="0.3">
      <c r="C51" s="135" t="s">
        <v>81</v>
      </c>
      <c r="D51" s="140">
        <f>STDEV(E38:E41,G38:G41)/D50</f>
        <v>6.6200397075385775E-3</v>
      </c>
      <c r="F51" s="139"/>
    </row>
    <row r="52" spans="1:11" ht="19.5" customHeight="1" x14ac:dyDescent="0.3">
      <c r="C52" s="137" t="s">
        <v>18</v>
      </c>
      <c r="D52" s="141">
        <f>COUNT(E38:E41,G38:G41)</f>
        <v>6</v>
      </c>
      <c r="F52" s="139"/>
    </row>
    <row r="54" spans="1:11" ht="18.75" x14ac:dyDescent="0.3">
      <c r="A54" s="97" t="s">
        <v>1</v>
      </c>
      <c r="B54" s="142" t="s">
        <v>82</v>
      </c>
    </row>
    <row r="55" spans="1:11" ht="18.75" x14ac:dyDescent="0.3">
      <c r="A55" s="98" t="s">
        <v>83</v>
      </c>
      <c r="B55" s="101" t="str">
        <f>B21</f>
        <v xml:space="preserve">Ritonavir 100 mg </v>
      </c>
    </row>
    <row r="56" spans="1:11" ht="26.25" customHeight="1" x14ac:dyDescent="0.4">
      <c r="A56" s="100" t="s">
        <v>84</v>
      </c>
      <c r="B56" s="244">
        <v>100</v>
      </c>
      <c r="C56" s="98" t="str">
        <f>B20</f>
        <v>Ritonavir</v>
      </c>
      <c r="H56" s="107"/>
    </row>
    <row r="57" spans="1:11" ht="18.75" x14ac:dyDescent="0.3">
      <c r="A57" s="101" t="s">
        <v>85</v>
      </c>
      <c r="B57" s="274">
        <f>Uniformity!C46</f>
        <v>1972.9455000000003</v>
      </c>
      <c r="H57" s="107"/>
    </row>
    <row r="58" spans="1:11" ht="19.5" customHeight="1" x14ac:dyDescent="0.3">
      <c r="H58" s="107"/>
    </row>
    <row r="59" spans="1:11" s="11" customFormat="1" ht="27" customHeight="1" x14ac:dyDescent="0.4">
      <c r="A59" s="116" t="s">
        <v>86</v>
      </c>
      <c r="B59" s="247">
        <v>100</v>
      </c>
      <c r="C59" s="98"/>
      <c r="D59" s="144" t="s">
        <v>87</v>
      </c>
      <c r="E59" s="143" t="s">
        <v>88</v>
      </c>
      <c r="F59" s="143" t="s">
        <v>61</v>
      </c>
      <c r="G59" s="143" t="s">
        <v>89</v>
      </c>
      <c r="H59" s="119" t="s">
        <v>90</v>
      </c>
      <c r="K59" s="108"/>
    </row>
    <row r="60" spans="1:11" s="11" customFormat="1" ht="22.5" customHeight="1" x14ac:dyDescent="0.4">
      <c r="A60" s="117" t="s">
        <v>91</v>
      </c>
      <c r="B60" s="248">
        <v>3</v>
      </c>
      <c r="C60" s="499" t="s">
        <v>92</v>
      </c>
      <c r="D60" s="503">
        <v>1969.54</v>
      </c>
      <c r="E60" s="145">
        <v>1</v>
      </c>
      <c r="F60" s="256">
        <v>35130091</v>
      </c>
      <c r="G60" s="181">
        <f>IF(ISBLANK(F60),"-",(F60/$D$50*$D$47*$B$68)*($B$57/$D$60))</f>
        <v>102.91139885873213</v>
      </c>
      <c r="H60" s="183">
        <f>IF(ISBLANK(F60),"-",G60/$B$56)</f>
        <v>1.0291139885873213</v>
      </c>
      <c r="K60" s="108"/>
    </row>
    <row r="61" spans="1:11" s="11" customFormat="1" ht="26.25" customHeight="1" x14ac:dyDescent="0.4">
      <c r="A61" s="117" t="s">
        <v>93</v>
      </c>
      <c r="B61" s="248">
        <v>50</v>
      </c>
      <c r="C61" s="500"/>
      <c r="D61" s="504"/>
      <c r="E61" s="146">
        <v>2</v>
      </c>
      <c r="F61" s="250">
        <v>34250845</v>
      </c>
      <c r="G61" s="182">
        <f>IF(ISBLANK(F61),"-",(F61/$D$50*$D$47*$B$68)*($B$57/$D$60))</f>
        <v>100.33570283218482</v>
      </c>
      <c r="H61" s="184">
        <f>IF(ISBLANK(F61),"-",G61/$B$56)</f>
        <v>1.0033570283218483</v>
      </c>
      <c r="K61" s="108"/>
    </row>
    <row r="62" spans="1:11" s="11" customFormat="1" ht="26.25" customHeight="1" x14ac:dyDescent="0.4">
      <c r="A62" s="117" t="s">
        <v>94</v>
      </c>
      <c r="B62" s="248">
        <v>1</v>
      </c>
      <c r="C62" s="500"/>
      <c r="D62" s="504"/>
      <c r="E62" s="146">
        <v>3</v>
      </c>
      <c r="F62" s="250">
        <v>35087097</v>
      </c>
      <c r="G62" s="182">
        <f>IF(ISBLANK(F62),"-",(F62/$D$50*$D$47*$B$68)*($B$57/$D$60))</f>
        <v>102.78545063154044</v>
      </c>
      <c r="H62" s="184">
        <f>IF(ISBLANK(F62),"-",G62/$B$56)</f>
        <v>1.0278545063154043</v>
      </c>
      <c r="K62" s="108"/>
    </row>
    <row r="63" spans="1:11" ht="21" customHeight="1" x14ac:dyDescent="0.4">
      <c r="A63" s="117" t="s">
        <v>95</v>
      </c>
      <c r="B63" s="248">
        <v>1</v>
      </c>
      <c r="C63" s="501"/>
      <c r="D63" s="505"/>
      <c r="E63" s="147">
        <v>4</v>
      </c>
      <c r="F63" s="257"/>
      <c r="G63" s="182" t="str">
        <f>IF(ISBLANK(F63),"-",(F63/$D$50*$D$47*$B$68)*($B$57/$D$60))</f>
        <v>-</v>
      </c>
      <c r="H63" s="184" t="str">
        <f t="shared" ref="H61:H71" si="0">IF(ISBLANK(F63),"-",G63/$B$56)</f>
        <v>-</v>
      </c>
    </row>
    <row r="64" spans="1:11" ht="26.25" customHeight="1" x14ac:dyDescent="0.4">
      <c r="A64" s="117" t="s">
        <v>96</v>
      </c>
      <c r="B64" s="248">
        <v>1</v>
      </c>
      <c r="C64" s="499" t="s">
        <v>97</v>
      </c>
      <c r="D64" s="503">
        <v>1953.85</v>
      </c>
      <c r="E64" s="145">
        <v>1</v>
      </c>
      <c r="F64" s="256">
        <v>34137112</v>
      </c>
      <c r="G64" s="208">
        <f>IF(ISBLANK(F64),"-",(F64/$D$50*$D$47*$B$68)*($B$57/$D$64))</f>
        <v>100.80557936501349</v>
      </c>
      <c r="H64" s="205">
        <f>IF(ISBLANK(F64),"-",G64/$B$56)</f>
        <v>1.0080557936501349</v>
      </c>
    </row>
    <row r="65" spans="1:8" ht="26.25" customHeight="1" x14ac:dyDescent="0.4">
      <c r="A65" s="117" t="s">
        <v>98</v>
      </c>
      <c r="B65" s="248">
        <v>1</v>
      </c>
      <c r="C65" s="500"/>
      <c r="D65" s="504"/>
      <c r="E65" s="146">
        <v>2</v>
      </c>
      <c r="F65" s="250">
        <v>34946896</v>
      </c>
      <c r="G65" s="209">
        <f>IF(ISBLANK(F65),"-",(F65/$D$50*$D$47*$B$68)*($B$57/$D$64))</f>
        <v>103.196840385586</v>
      </c>
      <c r="H65" s="206">
        <f>IF(ISBLANK(F65),"-",G65/$B$56)</f>
        <v>1.0319684038558601</v>
      </c>
    </row>
    <row r="66" spans="1:8" ht="26.25" customHeight="1" x14ac:dyDescent="0.4">
      <c r="A66" s="117" t="s">
        <v>99</v>
      </c>
      <c r="B66" s="248">
        <v>1</v>
      </c>
      <c r="C66" s="500"/>
      <c r="D66" s="504"/>
      <c r="E66" s="146">
        <v>3</v>
      </c>
      <c r="F66" s="250">
        <v>35184646</v>
      </c>
      <c r="G66" s="209">
        <f>IF(ISBLANK(F66),"-",(F66/$D$50*$D$47*$B$68)*($B$57/$D$64))</f>
        <v>103.89890699549817</v>
      </c>
      <c r="H66" s="206">
        <f>IF(ISBLANK(F66),"-",G66/$B$56)</f>
        <v>1.0389890699549817</v>
      </c>
    </row>
    <row r="67" spans="1:8" ht="21" customHeight="1" x14ac:dyDescent="0.4">
      <c r="A67" s="117" t="s">
        <v>100</v>
      </c>
      <c r="B67" s="248">
        <v>1</v>
      </c>
      <c r="C67" s="501"/>
      <c r="D67" s="505"/>
      <c r="E67" s="147">
        <v>4</v>
      </c>
      <c r="F67" s="257"/>
      <c r="G67" s="210" t="str">
        <f>IF(ISBLANK(F67),"-",(F67/$D$50*$D$47*$B$68)*($B$57/$D$64))</f>
        <v>-</v>
      </c>
      <c r="H67" s="207" t="str">
        <f t="shared" si="0"/>
        <v>-</v>
      </c>
    </row>
    <row r="68" spans="1:8" ht="21.75" customHeight="1" x14ac:dyDescent="0.4">
      <c r="A68" s="117" t="s">
        <v>101</v>
      </c>
      <c r="B68" s="217">
        <f>(B67/B66)*(B65/B64)*(B63/B62)*(B61/B60)*B59</f>
        <v>1666.6666666666667</v>
      </c>
      <c r="C68" s="499" t="s">
        <v>102</v>
      </c>
      <c r="D68" s="503">
        <v>1946.27</v>
      </c>
      <c r="E68" s="145">
        <v>1</v>
      </c>
      <c r="F68" s="256">
        <v>34822249</v>
      </c>
      <c r="G68" s="208">
        <f>IF(ISBLANK(F68),"-",(F68/$D$50*$D$47*$B$68)*($B$57/$D$68))</f>
        <v>103.22924248932075</v>
      </c>
      <c r="H68" s="184">
        <f>IF(ISBLANK(F68),"-",G68/$B$56)</f>
        <v>1.0322924248932075</v>
      </c>
    </row>
    <row r="69" spans="1:8" ht="21.75" customHeight="1" x14ac:dyDescent="0.4">
      <c r="A69" s="235" t="s">
        <v>103</v>
      </c>
      <c r="B69" s="255">
        <f>D47*B68/B56*B57</f>
        <v>1972.9455000000003</v>
      </c>
      <c r="C69" s="500"/>
      <c r="D69" s="504"/>
      <c r="E69" s="146">
        <v>2</v>
      </c>
      <c r="F69" s="250">
        <v>34761699</v>
      </c>
      <c r="G69" s="209">
        <f>IF(ISBLANK(F69),"-",(F69/$D$50*$D$47*$B$68)*($B$57/$D$68))</f>
        <v>103.04974430031153</v>
      </c>
      <c r="H69" s="184">
        <f t="shared" si="0"/>
        <v>1.0304974430031153</v>
      </c>
    </row>
    <row r="70" spans="1:8" ht="22.5" customHeight="1" x14ac:dyDescent="0.4">
      <c r="A70" s="493" t="s">
        <v>75</v>
      </c>
      <c r="B70" s="494"/>
      <c r="C70" s="500"/>
      <c r="D70" s="504"/>
      <c r="E70" s="146">
        <v>3</v>
      </c>
      <c r="F70" s="250">
        <v>34864641</v>
      </c>
      <c r="G70" s="209">
        <f>IF(ISBLANK(F70),"-",(F70/$D$50*$D$47*$B$68)*($B$57/$D$68))</f>
        <v>103.35491197286295</v>
      </c>
      <c r="H70" s="184">
        <f>IF(ISBLANK(F70),"-",G70/$B$56)</f>
        <v>1.0335491197286295</v>
      </c>
    </row>
    <row r="71" spans="1:8" ht="21.75" customHeight="1" x14ac:dyDescent="0.4">
      <c r="A71" s="495"/>
      <c r="B71" s="496"/>
      <c r="C71" s="502"/>
      <c r="D71" s="505"/>
      <c r="E71" s="147">
        <v>4</v>
      </c>
      <c r="F71" s="257"/>
      <c r="G71" s="210" t="str">
        <f>IF(ISBLANK(F71),"-",(F71/$D$50*$D$47*$B$68)*($B$57/$D$68))</f>
        <v>-</v>
      </c>
      <c r="H71" s="185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38" t="s">
        <v>68</v>
      </c>
      <c r="H72" s="258">
        <f>AVERAGE(H60:H71)</f>
        <v>1.0261864198122779</v>
      </c>
    </row>
    <row r="73" spans="1:8" ht="26.25" customHeight="1" x14ac:dyDescent="0.4">
      <c r="C73" s="148"/>
      <c r="D73" s="148"/>
      <c r="E73" s="148"/>
      <c r="F73" s="149"/>
      <c r="G73" s="135" t="s">
        <v>81</v>
      </c>
      <c r="H73" s="259">
        <f>STDEV(H60:H71)/H72</f>
        <v>1.1778088476352358E-2</v>
      </c>
    </row>
    <row r="74" spans="1:8" ht="27" customHeight="1" x14ac:dyDescent="0.4">
      <c r="A74" s="148"/>
      <c r="B74" s="148"/>
      <c r="C74" s="149"/>
      <c r="D74" s="149"/>
      <c r="E74" s="150"/>
      <c r="F74" s="149"/>
      <c r="G74" s="137" t="s">
        <v>18</v>
      </c>
      <c r="H74" s="260">
        <f>COUNT(H60:H71)</f>
        <v>9</v>
      </c>
    </row>
    <row r="75" spans="1:8" ht="18.75" x14ac:dyDescent="0.3">
      <c r="A75" s="148"/>
      <c r="B75" s="148"/>
      <c r="C75" s="149"/>
      <c r="D75" s="149"/>
      <c r="E75" s="150"/>
      <c r="F75" s="149"/>
      <c r="G75" s="170"/>
      <c r="H75" s="224"/>
    </row>
    <row r="76" spans="1:8" ht="18.75" x14ac:dyDescent="0.3">
      <c r="A76" s="104" t="s">
        <v>104</v>
      </c>
      <c r="B76" s="241" t="s">
        <v>105</v>
      </c>
      <c r="C76" s="497" t="str">
        <f>B20</f>
        <v>Ritonavir</v>
      </c>
      <c r="D76" s="497"/>
      <c r="E76" s="242" t="s">
        <v>106</v>
      </c>
      <c r="F76" s="242"/>
      <c r="G76" s="243">
        <f>H72</f>
        <v>1.0261864198122779</v>
      </c>
      <c r="H76" s="224"/>
    </row>
    <row r="77" spans="1:8" ht="18.75" x14ac:dyDescent="0.3">
      <c r="A77" s="148"/>
      <c r="B77" s="148"/>
      <c r="C77" s="149"/>
      <c r="D77" s="149"/>
      <c r="E77" s="150"/>
      <c r="F77" s="149"/>
      <c r="G77" s="170"/>
      <c r="H77" s="224"/>
    </row>
    <row r="78" spans="1:8" ht="26.25" customHeight="1" x14ac:dyDescent="0.4">
      <c r="A78" s="103" t="s">
        <v>107</v>
      </c>
      <c r="B78" s="103" t="s">
        <v>108</v>
      </c>
      <c r="D78" s="263">
        <v>45</v>
      </c>
    </row>
    <row r="79" spans="1:8" ht="18.75" x14ac:dyDescent="0.3">
      <c r="A79" s="103"/>
      <c r="B79" s="103"/>
    </row>
    <row r="80" spans="1:8" ht="26.25" customHeight="1" x14ac:dyDescent="0.4">
      <c r="A80" s="104" t="s">
        <v>4</v>
      </c>
      <c r="B80" s="479" t="str">
        <f>B26</f>
        <v>Ritonavir</v>
      </c>
      <c r="C80" s="479"/>
    </row>
    <row r="81" spans="1:11" ht="26.25" customHeight="1" x14ac:dyDescent="0.4">
      <c r="A81" s="106" t="s">
        <v>46</v>
      </c>
      <c r="B81" s="244" t="str">
        <f>B27</f>
        <v>R9 1</v>
      </c>
    </row>
    <row r="82" spans="1:11" ht="27" customHeight="1" x14ac:dyDescent="0.4">
      <c r="A82" s="106" t="s">
        <v>6</v>
      </c>
      <c r="B82" s="244">
        <f>B28</f>
        <v>99.3</v>
      </c>
    </row>
    <row r="83" spans="1:11" s="11" customFormat="1" ht="27" customHeight="1" x14ac:dyDescent="0.4">
      <c r="A83" s="106" t="s">
        <v>47</v>
      </c>
      <c r="B83" s="244">
        <f>B29</f>
        <v>0</v>
      </c>
      <c r="C83" s="490" t="s">
        <v>48</v>
      </c>
      <c r="D83" s="491"/>
      <c r="E83" s="491"/>
      <c r="F83" s="491"/>
      <c r="G83" s="492"/>
      <c r="I83" s="108"/>
      <c r="J83" s="108"/>
      <c r="K83" s="108"/>
    </row>
    <row r="84" spans="1:11" s="11" customFormat="1" ht="19.5" customHeight="1" x14ac:dyDescent="0.3">
      <c r="A84" s="106" t="s">
        <v>49</v>
      </c>
      <c r="B84" s="105">
        <f>B82-B83</f>
        <v>99.3</v>
      </c>
      <c r="C84" s="109"/>
      <c r="D84" s="109"/>
      <c r="E84" s="109"/>
      <c r="F84" s="109"/>
      <c r="G84" s="110"/>
      <c r="I84" s="108"/>
      <c r="J84" s="108"/>
      <c r="K84" s="108"/>
    </row>
    <row r="85" spans="1:11" s="11" customFormat="1" ht="27" customHeight="1" x14ac:dyDescent="0.4">
      <c r="A85" s="106" t="s">
        <v>50</v>
      </c>
      <c r="B85" s="246">
        <v>1</v>
      </c>
      <c r="C85" s="476" t="s">
        <v>51</v>
      </c>
      <c r="D85" s="477"/>
      <c r="E85" s="477"/>
      <c r="F85" s="477"/>
      <c r="G85" s="477"/>
      <c r="H85" s="478"/>
      <c r="I85" s="108"/>
      <c r="J85" s="108"/>
      <c r="K85" s="108"/>
    </row>
    <row r="86" spans="1:11" s="11" customFormat="1" ht="27" customHeight="1" x14ac:dyDescent="0.4">
      <c r="A86" s="106" t="s">
        <v>52</v>
      </c>
      <c r="B86" s="246">
        <v>1</v>
      </c>
      <c r="C86" s="476" t="s">
        <v>53</v>
      </c>
      <c r="D86" s="477"/>
      <c r="E86" s="477"/>
      <c r="F86" s="477"/>
      <c r="G86" s="477"/>
      <c r="H86" s="478"/>
      <c r="I86" s="108"/>
      <c r="J86" s="108"/>
      <c r="K86" s="108"/>
    </row>
    <row r="87" spans="1:11" s="11" customFormat="1" ht="18.75" x14ac:dyDescent="0.3">
      <c r="A87" s="106"/>
      <c r="B87" s="105"/>
      <c r="C87" s="109"/>
      <c r="D87" s="109"/>
      <c r="E87" s="109"/>
      <c r="F87" s="109"/>
      <c r="G87" s="110"/>
      <c r="I87" s="108"/>
      <c r="J87" s="108"/>
      <c r="K87" s="108"/>
    </row>
    <row r="88" spans="1:11" s="11" customFormat="1" ht="18.75" x14ac:dyDescent="0.3">
      <c r="A88" s="106" t="s">
        <v>54</v>
      </c>
      <c r="B88" s="115">
        <f>B85/B86</f>
        <v>1</v>
      </c>
      <c r="C88" s="98" t="s">
        <v>55</v>
      </c>
      <c r="D88" s="109"/>
      <c r="E88" s="109"/>
      <c r="F88" s="109"/>
      <c r="G88" s="110"/>
      <c r="I88" s="108"/>
      <c r="J88" s="108"/>
      <c r="K88" s="108"/>
    </row>
    <row r="89" spans="1:11" ht="19.5" customHeight="1" x14ac:dyDescent="0.3">
      <c r="A89" s="103"/>
      <c r="B89" s="103"/>
    </row>
    <row r="90" spans="1:11" ht="27" customHeight="1" x14ac:dyDescent="0.4">
      <c r="A90" s="116" t="s">
        <v>56</v>
      </c>
      <c r="B90" s="247">
        <v>50</v>
      </c>
      <c r="D90" s="179" t="s">
        <v>57</v>
      </c>
      <c r="E90" s="180"/>
      <c r="F90" s="482" t="s">
        <v>58</v>
      </c>
      <c r="G90" s="483"/>
    </row>
    <row r="91" spans="1:11" ht="26.25" customHeight="1" x14ac:dyDescent="0.4">
      <c r="A91" s="117" t="s">
        <v>59</v>
      </c>
      <c r="B91" s="248">
        <v>3</v>
      </c>
      <c r="C91" s="176" t="s">
        <v>60</v>
      </c>
      <c r="D91" s="120" t="s">
        <v>61</v>
      </c>
      <c r="E91" s="177" t="s">
        <v>62</v>
      </c>
      <c r="F91" s="120" t="s">
        <v>61</v>
      </c>
      <c r="G91" s="121" t="s">
        <v>62</v>
      </c>
    </row>
    <row r="92" spans="1:11" ht="26.25" customHeight="1" x14ac:dyDescent="0.4">
      <c r="A92" s="117" t="s">
        <v>63</v>
      </c>
      <c r="B92" s="248">
        <v>10</v>
      </c>
      <c r="C92" s="174">
        <v>1</v>
      </c>
      <c r="D92" s="427">
        <v>33636351</v>
      </c>
      <c r="E92" s="193">
        <f>IF(ISBLANK(D92),"-",$D$102/$D$99*D92)</f>
        <v>37864369.83769013</v>
      </c>
      <c r="F92" s="427">
        <v>31020786</v>
      </c>
      <c r="G92" s="196">
        <f>IF(ISBLANK(F92),"-",$D$102/$F$99*F92)</f>
        <v>38185383.49303209</v>
      </c>
    </row>
    <row r="93" spans="1:11" ht="26.25" customHeight="1" x14ac:dyDescent="0.4">
      <c r="A93" s="117" t="s">
        <v>64</v>
      </c>
      <c r="B93" s="248">
        <v>1</v>
      </c>
      <c r="C93" s="149">
        <v>2</v>
      </c>
      <c r="D93" s="428">
        <v>33678985</v>
      </c>
      <c r="E93" s="194">
        <f>IF(ISBLANK(D93),"-",$D$102/$D$99*D93)</f>
        <v>37912362.842153072</v>
      </c>
      <c r="F93" s="428">
        <v>31042479</v>
      </c>
      <c r="G93" s="197">
        <f>IF(ISBLANK(F93),"-",$D$102/$F$99*F93)</f>
        <v>38212086.734017484</v>
      </c>
    </row>
    <row r="94" spans="1:11" ht="26.25" customHeight="1" x14ac:dyDescent="0.4">
      <c r="A94" s="117" t="s">
        <v>65</v>
      </c>
      <c r="B94" s="248">
        <v>1</v>
      </c>
      <c r="C94" s="149">
        <v>3</v>
      </c>
      <c r="D94" s="428">
        <v>33391724</v>
      </c>
      <c r="E94" s="194">
        <f>IF(ISBLANK(D94),"-",$D$102/$D$99*D94)</f>
        <v>37588993.736391731</v>
      </c>
      <c r="F94" s="428">
        <v>31036958</v>
      </c>
      <c r="G94" s="197">
        <f>IF(ISBLANK(F94),"-",$D$102/$F$99*F94)</f>
        <v>38205290.597315304</v>
      </c>
    </row>
    <row r="95" spans="1:11" ht="26.25" customHeight="1" x14ac:dyDescent="0.4">
      <c r="A95" s="117" t="s">
        <v>66</v>
      </c>
      <c r="B95" s="248">
        <v>1</v>
      </c>
      <c r="C95" s="178">
        <v>4</v>
      </c>
      <c r="D95" s="429"/>
      <c r="E95" s="195" t="str">
        <f>IF(ISBLANK(D95),"-",$D$102/$D$99*D95)</f>
        <v>-</v>
      </c>
      <c r="F95" s="429"/>
      <c r="G95" s="198" t="str">
        <f>IF(ISBLANK(F95),"-",$D$102/$F$99*F95)</f>
        <v>-</v>
      </c>
    </row>
    <row r="96" spans="1:11" ht="27" customHeight="1" x14ac:dyDescent="0.4">
      <c r="A96" s="117" t="s">
        <v>67</v>
      </c>
      <c r="B96" s="248">
        <v>1</v>
      </c>
      <c r="C96" s="170" t="s">
        <v>68</v>
      </c>
      <c r="D96" s="236">
        <f>AVERAGE(D92:D95)</f>
        <v>33569020</v>
      </c>
      <c r="E96" s="152">
        <f>AVERAGE(E92:E95)</f>
        <v>37788575.472078316</v>
      </c>
      <c r="F96" s="175">
        <f>AVERAGE(F92:F95)</f>
        <v>31033407.666666668</v>
      </c>
      <c r="G96" s="199">
        <f>AVERAGE(G92:G95)</f>
        <v>38200920.27478829</v>
      </c>
    </row>
    <row r="97" spans="1:9" ht="26.25" customHeight="1" x14ac:dyDescent="0.4">
      <c r="A97" s="117" t="s">
        <v>69</v>
      </c>
      <c r="B97" s="245">
        <v>1</v>
      </c>
      <c r="C97" s="227" t="s">
        <v>70</v>
      </c>
      <c r="D97" s="252">
        <v>9.94</v>
      </c>
      <c r="E97" s="124"/>
      <c r="F97" s="253">
        <v>9.09</v>
      </c>
    </row>
    <row r="98" spans="1:9" ht="26.25" customHeight="1" x14ac:dyDescent="0.4">
      <c r="A98" s="117" t="s">
        <v>71</v>
      </c>
      <c r="B98" s="245">
        <v>1</v>
      </c>
      <c r="C98" s="228" t="s">
        <v>72</v>
      </c>
      <c r="D98" s="229">
        <f>D97*B88</f>
        <v>9.94</v>
      </c>
      <c r="E98" s="131"/>
      <c r="F98" s="130">
        <f>F97*B88</f>
        <v>9.09</v>
      </c>
    </row>
    <row r="99" spans="1:9" ht="19.5" customHeight="1" x14ac:dyDescent="0.3">
      <c r="A99" s="117" t="s">
        <v>73</v>
      </c>
      <c r="B99" s="225">
        <f>(B98/B97)*(B96/B95)*(B94/B93)*(B92/B91)*B90</f>
        <v>166.66666666666669</v>
      </c>
      <c r="C99" s="228" t="s">
        <v>74</v>
      </c>
      <c r="D99" s="230">
        <f>D98*$B$84/100</f>
        <v>9.8704199999999993</v>
      </c>
      <c r="E99" s="133"/>
      <c r="F99" s="132">
        <f>F98*$B$84/100</f>
        <v>9.02637</v>
      </c>
    </row>
    <row r="100" spans="1:9" ht="19.5" customHeight="1" x14ac:dyDescent="0.3">
      <c r="A100" s="484" t="s">
        <v>75</v>
      </c>
      <c r="B100" s="485"/>
      <c r="C100" s="228" t="s">
        <v>76</v>
      </c>
      <c r="D100" s="229">
        <f>D99/$B$99</f>
        <v>5.9222519999999987E-2</v>
      </c>
      <c r="E100" s="133"/>
      <c r="F100" s="134">
        <f>F99/$B$99</f>
        <v>5.4158219999999993E-2</v>
      </c>
      <c r="G100" s="211"/>
      <c r="H100" s="212"/>
    </row>
    <row r="101" spans="1:9" ht="19.5" customHeight="1" x14ac:dyDescent="0.3">
      <c r="A101" s="486"/>
      <c r="B101" s="487"/>
      <c r="C101" s="228" t="s">
        <v>77</v>
      </c>
      <c r="D101" s="237">
        <f>$B$56/$B$117</f>
        <v>6.6666666666666666E-2</v>
      </c>
      <c r="F101" s="136"/>
      <c r="G101" s="213"/>
      <c r="H101" s="212"/>
    </row>
    <row r="102" spans="1:9" ht="18.75" x14ac:dyDescent="0.3">
      <c r="C102" s="228" t="s">
        <v>78</v>
      </c>
      <c r="D102" s="229">
        <f>D101*$B$99</f>
        <v>11.111111111111112</v>
      </c>
      <c r="F102" s="136"/>
      <c r="G102" s="211"/>
      <c r="H102" s="212"/>
    </row>
    <row r="103" spans="1:9" ht="19.5" customHeight="1" x14ac:dyDescent="0.3">
      <c r="C103" s="231" t="s">
        <v>79</v>
      </c>
      <c r="D103" s="238">
        <f>D102/B34</f>
        <v>11.111111111111112</v>
      </c>
      <c r="F103" s="139"/>
      <c r="G103" s="211"/>
      <c r="H103" s="212"/>
      <c r="I103" s="153"/>
    </row>
    <row r="104" spans="1:9" ht="18.75" x14ac:dyDescent="0.3">
      <c r="C104" s="233" t="s">
        <v>109</v>
      </c>
      <c r="D104" s="234">
        <f>AVERAGE(E92:E95,G92:G95)</f>
        <v>37994747.873433307</v>
      </c>
      <c r="F104" s="139"/>
      <c r="G104" s="214"/>
      <c r="H104" s="212"/>
      <c r="I104" s="155"/>
    </row>
    <row r="105" spans="1:9" ht="18.75" x14ac:dyDescent="0.3">
      <c r="C105" s="135" t="s">
        <v>81</v>
      </c>
      <c r="D105" s="154">
        <f>STDEV(E92:E95,G92:G95)/D104</f>
        <v>6.6200397075385211E-3</v>
      </c>
      <c r="F105" s="139"/>
      <c r="G105" s="211"/>
      <c r="H105" s="212"/>
      <c r="I105" s="155"/>
    </row>
    <row r="106" spans="1:9" ht="19.5" customHeight="1" x14ac:dyDescent="0.3">
      <c r="C106" s="137" t="s">
        <v>18</v>
      </c>
      <c r="D106" s="156">
        <f>COUNT(E92:E95,G92:G95)</f>
        <v>6</v>
      </c>
      <c r="F106" s="139"/>
      <c r="G106" s="211"/>
      <c r="H106" s="212"/>
      <c r="I106" s="155"/>
    </row>
    <row r="107" spans="1:9" ht="19.5" customHeight="1" x14ac:dyDescent="0.3">
      <c r="A107" s="97"/>
      <c r="B107" s="97"/>
      <c r="C107" s="97"/>
      <c r="D107" s="97"/>
      <c r="E107" s="97"/>
    </row>
    <row r="108" spans="1:9" ht="26.25" customHeight="1" x14ac:dyDescent="0.4">
      <c r="A108" s="116" t="s">
        <v>110</v>
      </c>
      <c r="B108" s="247">
        <v>900</v>
      </c>
      <c r="C108" s="157" t="s">
        <v>111</v>
      </c>
      <c r="D108" s="158" t="s">
        <v>61</v>
      </c>
      <c r="E108" s="159" t="s">
        <v>112</v>
      </c>
      <c r="F108" s="160" t="s">
        <v>113</v>
      </c>
    </row>
    <row r="109" spans="1:9" ht="26.25" customHeight="1" x14ac:dyDescent="0.4">
      <c r="A109" s="117" t="s">
        <v>91</v>
      </c>
      <c r="B109" s="248">
        <v>3</v>
      </c>
      <c r="C109" s="123">
        <v>1</v>
      </c>
      <c r="D109" s="261">
        <v>15029435</v>
      </c>
      <c r="E109" s="161">
        <f t="shared" ref="E109:E114" si="1">IF(ISBLANK(D109),"-",D109/$D$104*$D$101*$B$117)</f>
        <v>39.556612008758407</v>
      </c>
      <c r="F109" s="162">
        <f>IF(ISBLANK(D109), "-", E109/$B$56)</f>
        <v>0.39556612008758407</v>
      </c>
    </row>
    <row r="110" spans="1:9" ht="26.25" customHeight="1" x14ac:dyDescent="0.4">
      <c r="A110" s="117" t="s">
        <v>93</v>
      </c>
      <c r="B110" s="248">
        <v>5</v>
      </c>
      <c r="C110" s="123">
        <v>2</v>
      </c>
      <c r="D110" s="261">
        <v>14287954</v>
      </c>
      <c r="E110" s="163">
        <f t="shared" si="1"/>
        <v>37.605076490033568</v>
      </c>
      <c r="F110" s="186">
        <f t="shared" ref="F109:F114" si="2">IF(ISBLANK(D110), "-", E110/$B$56)</f>
        <v>0.37605076490033568</v>
      </c>
    </row>
    <row r="111" spans="1:9" ht="26.25" customHeight="1" x14ac:dyDescent="0.4">
      <c r="A111" s="117" t="s">
        <v>94</v>
      </c>
      <c r="B111" s="248">
        <v>1</v>
      </c>
      <c r="C111" s="123">
        <v>3</v>
      </c>
      <c r="D111" s="261">
        <v>14240769</v>
      </c>
      <c r="E111" s="163">
        <f t="shared" si="1"/>
        <v>37.480888272869507</v>
      </c>
      <c r="F111" s="186">
        <f>IF(ISBLANK(D111), "-", E111/$B$56)</f>
        <v>0.37480888272869506</v>
      </c>
    </row>
    <row r="112" spans="1:9" ht="26.25" customHeight="1" x14ac:dyDescent="0.4">
      <c r="A112" s="117" t="s">
        <v>95</v>
      </c>
      <c r="B112" s="248">
        <v>1</v>
      </c>
      <c r="C112" s="123">
        <v>4</v>
      </c>
      <c r="D112" s="261">
        <v>14765934</v>
      </c>
      <c r="E112" s="163">
        <f t="shared" si="1"/>
        <v>38.863092470537595</v>
      </c>
      <c r="F112" s="186">
        <f t="shared" si="2"/>
        <v>0.38863092470537597</v>
      </c>
    </row>
    <row r="113" spans="1:9" ht="26.25" customHeight="1" x14ac:dyDescent="0.4">
      <c r="A113" s="117" t="s">
        <v>96</v>
      </c>
      <c r="B113" s="248">
        <v>1</v>
      </c>
      <c r="C113" s="123">
        <v>5</v>
      </c>
      <c r="D113" s="261">
        <v>15239825</v>
      </c>
      <c r="E113" s="163">
        <f t="shared" si="1"/>
        <v>40.110346437266379</v>
      </c>
      <c r="F113" s="186">
        <f>IF(ISBLANK(D113), "-", E113/$B$56)</f>
        <v>0.40110346437266381</v>
      </c>
    </row>
    <row r="114" spans="1:9" ht="26.25" customHeight="1" x14ac:dyDescent="0.4">
      <c r="A114" s="117" t="s">
        <v>98</v>
      </c>
      <c r="B114" s="248">
        <v>1</v>
      </c>
      <c r="C114" s="126">
        <v>6</v>
      </c>
      <c r="D114" s="262">
        <v>14696501</v>
      </c>
      <c r="E114" s="164">
        <f t="shared" si="1"/>
        <v>38.680348791776268</v>
      </c>
      <c r="F114" s="187">
        <f t="shared" si="2"/>
        <v>0.3868034879177627</v>
      </c>
    </row>
    <row r="115" spans="1:9" ht="26.25" customHeight="1" x14ac:dyDescent="0.4">
      <c r="A115" s="117" t="s">
        <v>99</v>
      </c>
      <c r="B115" s="248">
        <v>1</v>
      </c>
      <c r="C115" s="123"/>
      <c r="D115" s="149"/>
      <c r="E115" s="151"/>
      <c r="F115" s="165"/>
    </row>
    <row r="116" spans="1:9" ht="26.25" customHeight="1" x14ac:dyDescent="0.4">
      <c r="A116" s="117" t="s">
        <v>100</v>
      </c>
      <c r="B116" s="248">
        <v>1</v>
      </c>
      <c r="C116" s="123"/>
      <c r="D116" s="166"/>
      <c r="E116" s="167" t="s">
        <v>68</v>
      </c>
      <c r="F116" s="268">
        <f>AVERAGE(F109:F114)</f>
        <v>0.38716060745206954</v>
      </c>
    </row>
    <row r="117" spans="1:9" ht="27" customHeight="1" x14ac:dyDescent="0.4">
      <c r="A117" s="117" t="s">
        <v>101</v>
      </c>
      <c r="B117" s="216">
        <f>(B116/B115)*(B114/B113)*(B112/B111)*(B110/B109)*B108</f>
        <v>1500</v>
      </c>
      <c r="C117" s="168"/>
      <c r="D117" s="169"/>
      <c r="E117" s="170" t="s">
        <v>81</v>
      </c>
      <c r="F117" s="269">
        <f>STDEV(F109:F114)/F116</f>
        <v>2.6925220244770245E-2</v>
      </c>
    </row>
    <row r="118" spans="1:9" ht="27" customHeight="1" x14ac:dyDescent="0.4">
      <c r="A118" s="484" t="s">
        <v>75</v>
      </c>
      <c r="B118" s="488"/>
      <c r="C118" s="171"/>
      <c r="D118" s="172"/>
      <c r="E118" s="173" t="s">
        <v>18</v>
      </c>
      <c r="F118" s="270">
        <f>COUNT(F109:F114)</f>
        <v>6</v>
      </c>
      <c r="I118" s="155"/>
    </row>
    <row r="119" spans="1:9" ht="19.5" customHeight="1" x14ac:dyDescent="0.3">
      <c r="A119" s="486"/>
      <c r="B119" s="489"/>
      <c r="C119" s="151"/>
      <c r="D119" s="151"/>
      <c r="E119" s="151"/>
      <c r="F119" s="149"/>
      <c r="G119" s="151"/>
      <c r="H119" s="151"/>
    </row>
    <row r="120" spans="1:9" ht="18.75" x14ac:dyDescent="0.3">
      <c r="A120" s="114"/>
      <c r="B120" s="114"/>
      <c r="C120" s="151"/>
      <c r="D120" s="151"/>
      <c r="E120" s="151"/>
      <c r="F120" s="149"/>
      <c r="G120" s="151"/>
      <c r="H120" s="151"/>
    </row>
    <row r="121" spans="1:9" ht="26.25" customHeight="1" x14ac:dyDescent="0.4">
      <c r="A121" s="104" t="s">
        <v>104</v>
      </c>
      <c r="B121" s="241" t="s">
        <v>105</v>
      </c>
      <c r="C121" s="497" t="str">
        <f>B20</f>
        <v>Ritonavir</v>
      </c>
      <c r="D121" s="497"/>
      <c r="E121" s="242" t="s">
        <v>114</v>
      </c>
      <c r="F121" s="242"/>
      <c r="G121" s="271">
        <f>F116</f>
        <v>0.38716060745206954</v>
      </c>
      <c r="H121" s="151"/>
    </row>
    <row r="122" spans="1:9" ht="18.75" x14ac:dyDescent="0.3">
      <c r="A122" s="114"/>
      <c r="B122" s="114"/>
      <c r="C122" s="151"/>
      <c r="D122" s="151"/>
      <c r="E122" s="151"/>
      <c r="F122" s="149"/>
      <c r="G122" s="151"/>
      <c r="H122" s="151"/>
    </row>
    <row r="123" spans="1:9" ht="26.25" customHeight="1" x14ac:dyDescent="0.4">
      <c r="A123" s="103" t="s">
        <v>107</v>
      </c>
      <c r="B123" s="103" t="s">
        <v>108</v>
      </c>
      <c r="D123" s="263">
        <v>90</v>
      </c>
    </row>
    <row r="124" spans="1:9" ht="19.5" customHeight="1" x14ac:dyDescent="0.3">
      <c r="A124" s="97"/>
      <c r="B124" s="97"/>
      <c r="C124" s="97"/>
      <c r="D124" s="97"/>
      <c r="E124" s="97"/>
    </row>
    <row r="125" spans="1:9" ht="26.25" customHeight="1" x14ac:dyDescent="0.4">
      <c r="A125" s="116" t="s">
        <v>110</v>
      </c>
      <c r="B125" s="264">
        <v>900</v>
      </c>
      <c r="C125" s="157" t="s">
        <v>111</v>
      </c>
      <c r="D125" s="158" t="s">
        <v>61</v>
      </c>
      <c r="E125" s="159" t="s">
        <v>112</v>
      </c>
      <c r="F125" s="160" t="s">
        <v>113</v>
      </c>
    </row>
    <row r="126" spans="1:9" ht="26.25" customHeight="1" x14ac:dyDescent="0.4">
      <c r="A126" s="117" t="s">
        <v>91</v>
      </c>
      <c r="B126" s="265">
        <v>3</v>
      </c>
      <c r="C126" s="123">
        <v>1</v>
      </c>
      <c r="D126" s="266">
        <v>34821646</v>
      </c>
      <c r="E126" s="221">
        <f t="shared" ref="E126:E131" si="3">IF(ISBLANK(D126),"-",D126/$D$104*$D$101*$B$134)</f>
        <v>91.648577629720222</v>
      </c>
      <c r="F126" s="218">
        <f>IF(ISBLANK(D126), "-", E126/$B$56)</f>
        <v>0.91648577629720218</v>
      </c>
    </row>
    <row r="127" spans="1:9" ht="26.25" customHeight="1" x14ac:dyDescent="0.4">
      <c r="A127" s="117" t="s">
        <v>93</v>
      </c>
      <c r="B127" s="265">
        <v>5</v>
      </c>
      <c r="C127" s="123">
        <v>2</v>
      </c>
      <c r="D127" s="266">
        <v>35309778</v>
      </c>
      <c r="E127" s="222">
        <f t="shared" si="3"/>
        <v>92.933313092700658</v>
      </c>
      <c r="F127" s="219">
        <f>IF(ISBLANK(D127), "-", E127/$B$56)</f>
        <v>0.92933313092700653</v>
      </c>
    </row>
    <row r="128" spans="1:9" ht="26.25" customHeight="1" x14ac:dyDescent="0.4">
      <c r="A128" s="117" t="s">
        <v>94</v>
      </c>
      <c r="B128" s="265">
        <v>1</v>
      </c>
      <c r="C128" s="123">
        <v>3</v>
      </c>
      <c r="D128" s="266">
        <v>34109011</v>
      </c>
      <c r="E128" s="222">
        <f t="shared" si="3"/>
        <v>89.772963130648137</v>
      </c>
      <c r="F128" s="219">
        <f>IF(ISBLANK(D128), "-", E128/$B$56)</f>
        <v>0.89772963130648131</v>
      </c>
    </row>
    <row r="129" spans="1:9" ht="26.25" customHeight="1" x14ac:dyDescent="0.4">
      <c r="A129" s="117" t="s">
        <v>95</v>
      </c>
      <c r="B129" s="265">
        <v>1</v>
      </c>
      <c r="C129" s="123">
        <v>4</v>
      </c>
      <c r="D129" s="266">
        <v>34696628</v>
      </c>
      <c r="E129" s="222">
        <f t="shared" si="3"/>
        <v>91.319537414960934</v>
      </c>
      <c r="F129" s="219">
        <f>IF(ISBLANK(D129), "-", E129/$B$56)</f>
        <v>0.91319537414960938</v>
      </c>
    </row>
    <row r="130" spans="1:9" ht="26.25" customHeight="1" x14ac:dyDescent="0.4">
      <c r="A130" s="117" t="s">
        <v>96</v>
      </c>
      <c r="B130" s="265">
        <v>1</v>
      </c>
      <c r="C130" s="123">
        <v>5</v>
      </c>
      <c r="D130" s="266">
        <v>34171454</v>
      </c>
      <c r="E130" s="222">
        <f t="shared" si="3"/>
        <v>89.937309529808388</v>
      </c>
      <c r="F130" s="219">
        <f>IF(ISBLANK(D130), "-", E130/$B$56)</f>
        <v>0.89937309529808385</v>
      </c>
    </row>
    <row r="131" spans="1:9" ht="26.25" customHeight="1" x14ac:dyDescent="0.4">
      <c r="A131" s="117" t="s">
        <v>98</v>
      </c>
      <c r="B131" s="265">
        <v>1</v>
      </c>
      <c r="C131" s="126">
        <v>6</v>
      </c>
      <c r="D131" s="267">
        <v>35790184</v>
      </c>
      <c r="E131" s="223">
        <f t="shared" si="3"/>
        <v>94.197714166239322</v>
      </c>
      <c r="F131" s="220">
        <f>IF(ISBLANK(D131), "-", E131/$B$56)</f>
        <v>0.94197714166239321</v>
      </c>
    </row>
    <row r="132" spans="1:9" ht="26.25" customHeight="1" x14ac:dyDescent="0.4">
      <c r="A132" s="117" t="s">
        <v>99</v>
      </c>
      <c r="B132" s="265">
        <v>1</v>
      </c>
      <c r="C132" s="123"/>
      <c r="D132" s="149"/>
      <c r="E132" s="151"/>
      <c r="F132" s="165"/>
    </row>
    <row r="133" spans="1:9" ht="26.25" customHeight="1" x14ac:dyDescent="0.4">
      <c r="A133" s="117" t="s">
        <v>100</v>
      </c>
      <c r="B133" s="265">
        <v>1</v>
      </c>
      <c r="C133" s="123"/>
      <c r="D133" s="166"/>
      <c r="E133" s="167" t="s">
        <v>68</v>
      </c>
      <c r="F133" s="268">
        <f>AVERAGE(F126:F131)</f>
        <v>0.91634902494012938</v>
      </c>
    </row>
    <row r="134" spans="1:9" ht="27" customHeight="1" x14ac:dyDescent="0.4">
      <c r="A134" s="117" t="s">
        <v>101</v>
      </c>
      <c r="B134" s="272">
        <f>(B133/B132)*(B131/B130)*(B129/B128)*(B127/B126)*B125</f>
        <v>1500</v>
      </c>
      <c r="C134" s="168"/>
      <c r="D134" s="169"/>
      <c r="E134" s="170" t="s">
        <v>81</v>
      </c>
      <c r="F134" s="269">
        <f>STDEV(F126:F131)/F133</f>
        <v>1.8713050449782446E-2</v>
      </c>
    </row>
    <row r="135" spans="1:9" ht="27" customHeight="1" x14ac:dyDescent="0.4">
      <c r="A135" s="484" t="s">
        <v>75</v>
      </c>
      <c r="B135" s="488"/>
      <c r="C135" s="171"/>
      <c r="D135" s="172"/>
      <c r="E135" s="173" t="s">
        <v>18</v>
      </c>
      <c r="F135" s="270">
        <f>COUNT(F126:F131)</f>
        <v>6</v>
      </c>
      <c r="I135" s="155"/>
    </row>
    <row r="136" spans="1:9" ht="19.5" customHeight="1" x14ac:dyDescent="0.3">
      <c r="A136" s="486"/>
      <c r="B136" s="489"/>
      <c r="C136" s="151"/>
      <c r="D136" s="151"/>
      <c r="E136" s="151"/>
      <c r="F136" s="149"/>
      <c r="G136" s="151"/>
      <c r="H136" s="151"/>
    </row>
    <row r="137" spans="1:9" ht="18.75" x14ac:dyDescent="0.3">
      <c r="A137" s="114"/>
      <c r="B137" s="114"/>
      <c r="C137" s="151"/>
      <c r="D137" s="151"/>
      <c r="E137" s="151"/>
      <c r="F137" s="149"/>
      <c r="G137" s="151"/>
      <c r="H137" s="151"/>
    </row>
    <row r="138" spans="1:9" ht="26.25" customHeight="1" x14ac:dyDescent="0.4">
      <c r="A138" s="104" t="s">
        <v>104</v>
      </c>
      <c r="B138" s="241" t="s">
        <v>105</v>
      </c>
      <c r="C138" s="497" t="str">
        <f>B20</f>
        <v>Ritonavir</v>
      </c>
      <c r="D138" s="497"/>
      <c r="E138" s="242" t="s">
        <v>114</v>
      </c>
      <c r="F138" s="242"/>
      <c r="G138" s="271">
        <f>F133</f>
        <v>0.91634902494012938</v>
      </c>
      <c r="H138" s="151"/>
    </row>
    <row r="139" spans="1:9" ht="19.5" customHeight="1" x14ac:dyDescent="0.3">
      <c r="A139" s="188"/>
      <c r="B139" s="188"/>
      <c r="C139" s="189"/>
      <c r="D139" s="189"/>
      <c r="E139" s="189"/>
      <c r="F139" s="189"/>
      <c r="G139" s="189"/>
      <c r="H139" s="189"/>
    </row>
    <row r="140" spans="1:9" ht="18.75" x14ac:dyDescent="0.3">
      <c r="B140" s="498" t="s">
        <v>24</v>
      </c>
      <c r="C140" s="498"/>
      <c r="E140" s="176" t="s">
        <v>25</v>
      </c>
      <c r="F140" s="203"/>
      <c r="G140" s="498" t="s">
        <v>26</v>
      </c>
      <c r="H140" s="498"/>
    </row>
    <row r="141" spans="1:9" ht="83.1" customHeight="1" x14ac:dyDescent="0.3">
      <c r="A141" s="204" t="s">
        <v>27</v>
      </c>
      <c r="B141" s="455" t="s">
        <v>121</v>
      </c>
      <c r="C141" s="239"/>
      <c r="E141" s="456">
        <v>42284</v>
      </c>
      <c r="F141" s="151"/>
      <c r="G141" s="201"/>
      <c r="H141" s="201"/>
    </row>
    <row r="142" spans="1:9" ht="83.1" customHeight="1" x14ac:dyDescent="0.3">
      <c r="A142" s="204" t="s">
        <v>28</v>
      </c>
      <c r="B142" s="240"/>
      <c r="C142" s="240"/>
      <c r="E142" s="200"/>
      <c r="F142" s="151"/>
      <c r="G142" s="202"/>
      <c r="H142" s="202"/>
    </row>
    <row r="143" spans="1:9" ht="18.75" x14ac:dyDescent="0.3">
      <c r="A143" s="148"/>
      <c r="B143" s="148"/>
      <c r="C143" s="149"/>
      <c r="D143" s="149"/>
      <c r="E143" s="149"/>
      <c r="F143" s="150"/>
      <c r="G143" s="149"/>
      <c r="H143" s="149"/>
    </row>
    <row r="144" spans="1:9" ht="18.75" x14ac:dyDescent="0.3">
      <c r="A144" s="148"/>
      <c r="B144" s="148"/>
      <c r="C144" s="149"/>
      <c r="D144" s="149"/>
      <c r="E144" s="149"/>
      <c r="F144" s="150"/>
      <c r="G144" s="149"/>
      <c r="H144" s="149"/>
    </row>
    <row r="145" spans="1:8" ht="18.75" x14ac:dyDescent="0.3">
      <c r="A145" s="148"/>
      <c r="B145" s="148"/>
      <c r="C145" s="149"/>
      <c r="D145" s="149"/>
      <c r="E145" s="149"/>
      <c r="F145" s="150"/>
      <c r="G145" s="149"/>
      <c r="H145" s="149"/>
    </row>
    <row r="146" spans="1:8" ht="18.75" x14ac:dyDescent="0.3">
      <c r="A146" s="148"/>
      <c r="B146" s="148"/>
      <c r="C146" s="149"/>
      <c r="D146" s="149"/>
      <c r="E146" s="149"/>
      <c r="F146" s="150"/>
      <c r="G146" s="149"/>
      <c r="H146" s="149"/>
    </row>
    <row r="147" spans="1:8" ht="18.75" x14ac:dyDescent="0.3">
      <c r="A147" s="148"/>
      <c r="B147" s="148"/>
      <c r="C147" s="149"/>
      <c r="D147" s="149"/>
      <c r="E147" s="149"/>
      <c r="F147" s="150"/>
      <c r="G147" s="149"/>
      <c r="H147" s="149"/>
    </row>
    <row r="148" spans="1:8" ht="18.75" x14ac:dyDescent="0.3">
      <c r="A148" s="148"/>
      <c r="B148" s="148"/>
      <c r="C148" s="149"/>
      <c r="D148" s="149"/>
      <c r="E148" s="149"/>
      <c r="F148" s="150"/>
      <c r="G148" s="149"/>
      <c r="H148" s="149"/>
    </row>
    <row r="149" spans="1:8" ht="18.75" x14ac:dyDescent="0.3">
      <c r="A149" s="148"/>
      <c r="B149" s="148"/>
      <c r="C149" s="149"/>
      <c r="D149" s="149"/>
      <c r="E149" s="149"/>
      <c r="F149" s="150"/>
      <c r="G149" s="149"/>
      <c r="H149" s="149"/>
    </row>
    <row r="150" spans="1:8" ht="18.75" x14ac:dyDescent="0.3">
      <c r="A150" s="148"/>
      <c r="B150" s="148"/>
      <c r="C150" s="149"/>
      <c r="D150" s="149"/>
      <c r="E150" s="149"/>
      <c r="F150" s="150"/>
      <c r="G150" s="149"/>
      <c r="H150" s="149"/>
    </row>
    <row r="151" spans="1:8" ht="18.75" x14ac:dyDescent="0.3">
      <c r="A151" s="148"/>
      <c r="B151" s="148"/>
      <c r="C151" s="149"/>
      <c r="D151" s="149"/>
      <c r="E151" s="149"/>
      <c r="F151" s="150"/>
      <c r="G151" s="149"/>
      <c r="H151" s="14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  <mergeCell ref="F90:G90"/>
    <mergeCell ref="A100:B101"/>
    <mergeCell ref="A118:B119"/>
    <mergeCell ref="A46:B47"/>
    <mergeCell ref="C83:G83"/>
    <mergeCell ref="A70:B71"/>
    <mergeCell ref="C76:D76"/>
    <mergeCell ref="A1:H7"/>
    <mergeCell ref="A8:H14"/>
    <mergeCell ref="A16:H16"/>
    <mergeCell ref="C85:H85"/>
    <mergeCell ref="C86:H86"/>
    <mergeCell ref="B80:C80"/>
    <mergeCell ref="B26:C26"/>
    <mergeCell ref="B18:C18"/>
  </mergeCells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Footer>&amp;LNQCL/ADDO/014&amp;C&amp;P of &amp;N&amp;R&amp;D &amp;T</oddFooter>
  </headerFooter>
  <rowBreaks count="1" manualBreakCount="1">
    <brk id="12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60" zoomScaleNormal="100" workbookViewId="0">
      <selection activeCell="D62" sqref="D62"/>
    </sheetView>
  </sheetViews>
  <sheetFormatPr defaultRowHeight="13.5" x14ac:dyDescent="0.25"/>
  <cols>
    <col min="1" max="1" width="27.5703125" style="389" customWidth="1"/>
    <col min="2" max="2" width="20.42578125" style="389" customWidth="1"/>
    <col min="3" max="3" width="31.85546875" style="389" customWidth="1"/>
    <col min="4" max="4" width="25.85546875" style="389" customWidth="1"/>
    <col min="5" max="5" width="25.7109375" style="389" customWidth="1"/>
    <col min="6" max="6" width="23.140625" style="389" customWidth="1"/>
    <col min="7" max="7" width="28.42578125" style="389" customWidth="1"/>
    <col min="8" max="8" width="21.5703125" style="389" customWidth="1"/>
    <col min="9" max="9" width="9.140625" style="38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1" t="s">
        <v>0</v>
      </c>
      <c r="B15" s="461"/>
      <c r="C15" s="461"/>
      <c r="D15" s="461"/>
      <c r="E15" s="461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1"/>
    </row>
    <row r="18" spans="1:5" ht="16.5" customHeight="1" x14ac:dyDescent="0.3">
      <c r="A18" s="74" t="s">
        <v>4</v>
      </c>
      <c r="B18" s="451" t="s">
        <v>116</v>
      </c>
      <c r="C18" s="71"/>
      <c r="D18" s="71"/>
      <c r="E18" s="71"/>
    </row>
    <row r="19" spans="1:5" ht="16.5" customHeight="1" x14ac:dyDescent="0.3">
      <c r="A19" s="74" t="s">
        <v>6</v>
      </c>
      <c r="B19" s="12">
        <v>87.6</v>
      </c>
      <c r="C19" s="71"/>
      <c r="D19" s="71"/>
      <c r="E19" s="71"/>
    </row>
    <row r="20" spans="1:5" ht="16.5" customHeight="1" x14ac:dyDescent="0.3">
      <c r="A20" s="8" t="s">
        <v>7</v>
      </c>
      <c r="B20" s="12">
        <v>26.09</v>
      </c>
      <c r="C20" s="71"/>
      <c r="D20" s="71"/>
      <c r="E20" s="71"/>
    </row>
    <row r="21" spans="1:5" ht="16.5" customHeight="1" x14ac:dyDescent="0.3">
      <c r="A21" s="8" t="s">
        <v>9</v>
      </c>
      <c r="B21" s="13"/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86605744</v>
      </c>
      <c r="C24" s="18">
        <v>6317.6</v>
      </c>
      <c r="D24" s="19">
        <v>1</v>
      </c>
      <c r="E24" s="20">
        <v>4.4000000000000004</v>
      </c>
    </row>
    <row r="25" spans="1:5" ht="16.5" customHeight="1" x14ac:dyDescent="0.3">
      <c r="A25" s="17">
        <v>2</v>
      </c>
      <c r="B25" s="18">
        <v>86467530</v>
      </c>
      <c r="C25" s="18">
        <v>6367.2</v>
      </c>
      <c r="D25" s="19">
        <v>1</v>
      </c>
      <c r="E25" s="19">
        <v>4.4000000000000004</v>
      </c>
    </row>
    <row r="26" spans="1:5" ht="16.5" customHeight="1" x14ac:dyDescent="0.3">
      <c r="A26" s="17">
        <v>3</v>
      </c>
      <c r="B26" s="18">
        <v>86526611</v>
      </c>
      <c r="C26" s="18">
        <v>6374.2</v>
      </c>
      <c r="D26" s="19">
        <v>1</v>
      </c>
      <c r="E26" s="19">
        <v>4.4000000000000004</v>
      </c>
    </row>
    <row r="27" spans="1:5" ht="16.5" customHeight="1" x14ac:dyDescent="0.3">
      <c r="A27" s="17">
        <v>4</v>
      </c>
      <c r="B27" s="18">
        <v>86399805</v>
      </c>
      <c r="C27" s="18">
        <v>6386.4</v>
      </c>
      <c r="D27" s="19">
        <v>1</v>
      </c>
      <c r="E27" s="19">
        <v>4.4000000000000004</v>
      </c>
    </row>
    <row r="28" spans="1:5" ht="16.5" customHeight="1" x14ac:dyDescent="0.3">
      <c r="A28" s="17">
        <v>5</v>
      </c>
      <c r="B28" s="18">
        <v>86567464</v>
      </c>
      <c r="C28" s="18">
        <v>6401.6</v>
      </c>
      <c r="D28" s="19">
        <v>1</v>
      </c>
      <c r="E28" s="19">
        <v>4.4000000000000004</v>
      </c>
    </row>
    <row r="29" spans="1:5" ht="16.5" customHeight="1" x14ac:dyDescent="0.3">
      <c r="A29" s="17">
        <v>6</v>
      </c>
      <c r="B29" s="21">
        <v>86535114</v>
      </c>
      <c r="C29" s="21">
        <v>6413</v>
      </c>
      <c r="D29" s="22">
        <v>1</v>
      </c>
      <c r="E29" s="22">
        <v>4.4000000000000004</v>
      </c>
    </row>
    <row r="30" spans="1:5" ht="16.5" customHeight="1" x14ac:dyDescent="0.3">
      <c r="A30" s="23" t="s">
        <v>16</v>
      </c>
      <c r="B30" s="24">
        <f>AVERAGE(B24:B29)</f>
        <v>86517044.666666672</v>
      </c>
      <c r="C30" s="25">
        <f>AVERAGE(C24:C29)</f>
        <v>6376.666666666667</v>
      </c>
      <c r="D30" s="26">
        <f>AVERAGE(D24:D29)</f>
        <v>1</v>
      </c>
      <c r="E30" s="26">
        <f>AVERAGE(E24:E29)</f>
        <v>4.3999999999999995</v>
      </c>
    </row>
    <row r="31" spans="1:5" ht="16.5" customHeight="1" x14ac:dyDescent="0.3">
      <c r="A31" s="27" t="s">
        <v>17</v>
      </c>
      <c r="B31" s="28">
        <f>(STDEV(B24:B29)/B30)</f>
        <v>8.4975252116467842E-4</v>
      </c>
      <c r="C31" s="29"/>
      <c r="D31" s="29"/>
      <c r="E31" s="30"/>
    </row>
    <row r="32" spans="1:5" s="389" customFormat="1" ht="16.5" customHeight="1" x14ac:dyDescent="0.3">
      <c r="A32" s="31" t="s">
        <v>18</v>
      </c>
      <c r="B32" s="32">
        <f>COUNT(B24:B29)</f>
        <v>6</v>
      </c>
      <c r="C32" s="33"/>
      <c r="D32" s="72"/>
      <c r="E32" s="35"/>
    </row>
    <row r="33" spans="1:5" s="389" customFormat="1" ht="15.75" customHeight="1" x14ac:dyDescent="0.25">
      <c r="A33" s="71"/>
      <c r="B33" s="71"/>
      <c r="C33" s="71"/>
      <c r="D33" s="71"/>
      <c r="E33" s="71"/>
    </row>
    <row r="34" spans="1:5" s="389" customFormat="1" ht="16.5" customHeight="1" x14ac:dyDescent="0.3">
      <c r="A34" s="74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74"/>
      <c r="B35" s="40" t="s">
        <v>21</v>
      </c>
      <c r="C35" s="39"/>
      <c r="D35" s="39"/>
      <c r="E35" s="39"/>
    </row>
    <row r="36" spans="1:5" ht="16.5" customHeight="1" x14ac:dyDescent="0.3">
      <c r="A36" s="74"/>
      <c r="B36" s="40" t="s">
        <v>22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23</v>
      </c>
    </row>
    <row r="39" spans="1:5" ht="16.5" customHeight="1" x14ac:dyDescent="0.3">
      <c r="A39" s="74" t="s">
        <v>4</v>
      </c>
      <c r="B39" s="8"/>
      <c r="C39" s="71"/>
      <c r="D39" s="71"/>
      <c r="E39" s="71"/>
    </row>
    <row r="40" spans="1:5" ht="16.5" customHeight="1" x14ac:dyDescent="0.3">
      <c r="A40" s="74" t="s">
        <v>6</v>
      </c>
      <c r="B40" s="12"/>
      <c r="C40" s="71"/>
      <c r="D40" s="71"/>
      <c r="E40" s="71"/>
    </row>
    <row r="41" spans="1:5" ht="16.5" customHeight="1" x14ac:dyDescent="0.3">
      <c r="A41" s="8" t="s">
        <v>7</v>
      </c>
      <c r="B41" s="12"/>
      <c r="C41" s="71"/>
      <c r="D41" s="71"/>
      <c r="E41" s="71"/>
    </row>
    <row r="42" spans="1:5" ht="16.5" customHeight="1" x14ac:dyDescent="0.3">
      <c r="A42" s="8" t="s">
        <v>9</v>
      </c>
      <c r="B42" s="13"/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86605744</v>
      </c>
      <c r="C45" s="18">
        <v>6317.6</v>
      </c>
      <c r="D45" s="19">
        <v>1</v>
      </c>
      <c r="E45" s="20">
        <v>4.4000000000000004</v>
      </c>
    </row>
    <row r="46" spans="1:5" ht="16.5" customHeight="1" x14ac:dyDescent="0.3">
      <c r="A46" s="17">
        <v>2</v>
      </c>
      <c r="B46" s="18">
        <v>86467530</v>
      </c>
      <c r="C46" s="18">
        <v>6367.2</v>
      </c>
      <c r="D46" s="19">
        <v>1</v>
      </c>
      <c r="E46" s="19">
        <v>4.4000000000000004</v>
      </c>
    </row>
    <row r="47" spans="1:5" ht="16.5" customHeight="1" x14ac:dyDescent="0.3">
      <c r="A47" s="17">
        <v>3</v>
      </c>
      <c r="B47" s="18">
        <v>86526611</v>
      </c>
      <c r="C47" s="18">
        <v>6374.2</v>
      </c>
      <c r="D47" s="19">
        <v>1</v>
      </c>
      <c r="E47" s="19">
        <v>4.4000000000000004</v>
      </c>
    </row>
    <row r="48" spans="1:5" ht="16.5" customHeight="1" x14ac:dyDescent="0.3">
      <c r="A48" s="17">
        <v>4</v>
      </c>
      <c r="B48" s="18">
        <v>86399805</v>
      </c>
      <c r="C48" s="18">
        <v>6386.4</v>
      </c>
      <c r="D48" s="19">
        <v>1</v>
      </c>
      <c r="E48" s="19">
        <v>4.4000000000000004</v>
      </c>
    </row>
    <row r="49" spans="1:7" ht="16.5" customHeight="1" x14ac:dyDescent="0.3">
      <c r="A49" s="17">
        <v>5</v>
      </c>
      <c r="B49" s="18">
        <v>86567464</v>
      </c>
      <c r="C49" s="18">
        <v>6401.6</v>
      </c>
      <c r="D49" s="19">
        <v>1</v>
      </c>
      <c r="E49" s="19">
        <v>4.4000000000000004</v>
      </c>
    </row>
    <row r="50" spans="1:7" ht="16.5" customHeight="1" x14ac:dyDescent="0.3">
      <c r="A50" s="17">
        <v>6</v>
      </c>
      <c r="B50" s="21">
        <v>86535114</v>
      </c>
      <c r="C50" s="21">
        <v>6413</v>
      </c>
      <c r="D50" s="22">
        <v>1</v>
      </c>
      <c r="E50" s="22">
        <v>4.4000000000000004</v>
      </c>
    </row>
    <row r="51" spans="1:7" ht="16.5" customHeight="1" x14ac:dyDescent="0.3">
      <c r="A51" s="23" t="s">
        <v>16</v>
      </c>
      <c r="B51" s="24">
        <f>AVERAGE(B45:B50)</f>
        <v>86517044.666666672</v>
      </c>
      <c r="C51" s="25">
        <f>AVERAGE(C45:C50)</f>
        <v>6376.666666666667</v>
      </c>
      <c r="D51" s="26">
        <f>AVERAGE(D45:D50)</f>
        <v>1</v>
      </c>
      <c r="E51" s="26">
        <f>AVERAGE(E45:E50)</f>
        <v>4.3999999999999995</v>
      </c>
    </row>
    <row r="52" spans="1:7" ht="16.5" customHeight="1" x14ac:dyDescent="0.3">
      <c r="A52" s="27" t="s">
        <v>17</v>
      </c>
      <c r="B52" s="28">
        <f>(STDEV(B45:B50)/B51)</f>
        <v>8.4975252116467842E-4</v>
      </c>
      <c r="C52" s="29"/>
      <c r="D52" s="29"/>
      <c r="E52" s="30"/>
    </row>
    <row r="53" spans="1:7" s="389" customFormat="1" ht="16.5" customHeight="1" x14ac:dyDescent="0.3">
      <c r="A53" s="31" t="s">
        <v>18</v>
      </c>
      <c r="B53" s="32">
        <f>COUNT(B45:B50)</f>
        <v>6</v>
      </c>
      <c r="C53" s="33"/>
      <c r="D53" s="72"/>
      <c r="E53" s="35"/>
    </row>
    <row r="54" spans="1:7" s="389" customFormat="1" ht="15.75" customHeight="1" x14ac:dyDescent="0.25">
      <c r="A54" s="71"/>
      <c r="B54" s="71"/>
      <c r="C54" s="71"/>
      <c r="D54" s="71"/>
      <c r="E54" s="71"/>
    </row>
    <row r="55" spans="1:7" s="389" customFormat="1" ht="16.5" customHeight="1" x14ac:dyDescent="0.3">
      <c r="A55" s="74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74"/>
      <c r="B56" s="40" t="s">
        <v>21</v>
      </c>
      <c r="C56" s="39"/>
      <c r="D56" s="39"/>
      <c r="E56" s="39"/>
    </row>
    <row r="57" spans="1:7" ht="16.5" customHeight="1" x14ac:dyDescent="0.3">
      <c r="A57" s="74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390"/>
      <c r="D58" s="43"/>
      <c r="F58" s="44"/>
      <c r="G58" s="44"/>
    </row>
    <row r="59" spans="1:7" ht="15" customHeight="1" x14ac:dyDescent="0.3">
      <c r="B59" s="462" t="s">
        <v>24</v>
      </c>
      <c r="C59" s="462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57" t="s">
        <v>122</v>
      </c>
      <c r="C60" s="49"/>
      <c r="E60" s="458">
        <v>42284</v>
      </c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Layout" topLeftCell="B86" zoomScale="55" zoomScaleNormal="75" zoomScalePageLayoutView="55" workbookViewId="0">
      <selection activeCell="G77" sqref="G77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471" t="s">
        <v>43</v>
      </c>
      <c r="B1" s="471"/>
      <c r="C1" s="471"/>
      <c r="D1" s="471"/>
      <c r="E1" s="471"/>
      <c r="F1" s="471"/>
      <c r="G1" s="471"/>
      <c r="H1" s="471"/>
    </row>
    <row r="2" spans="1:8" x14ac:dyDescent="0.25">
      <c r="A2" s="471"/>
      <c r="B2" s="471"/>
      <c r="C2" s="471"/>
      <c r="D2" s="471"/>
      <c r="E2" s="471"/>
      <c r="F2" s="471"/>
      <c r="G2" s="471"/>
      <c r="H2" s="471"/>
    </row>
    <row r="3" spans="1:8" x14ac:dyDescent="0.25">
      <c r="A3" s="471"/>
      <c r="B3" s="471"/>
      <c r="C3" s="471"/>
      <c r="D3" s="471"/>
      <c r="E3" s="471"/>
      <c r="F3" s="471"/>
      <c r="G3" s="471"/>
      <c r="H3" s="471"/>
    </row>
    <row r="4" spans="1:8" x14ac:dyDescent="0.25">
      <c r="A4" s="471"/>
      <c r="B4" s="471"/>
      <c r="C4" s="471"/>
      <c r="D4" s="471"/>
      <c r="E4" s="471"/>
      <c r="F4" s="471"/>
      <c r="G4" s="471"/>
      <c r="H4" s="471"/>
    </row>
    <row r="5" spans="1:8" x14ac:dyDescent="0.25">
      <c r="A5" s="471"/>
      <c r="B5" s="471"/>
      <c r="C5" s="471"/>
      <c r="D5" s="471"/>
      <c r="E5" s="471"/>
      <c r="F5" s="471"/>
      <c r="G5" s="471"/>
      <c r="H5" s="471"/>
    </row>
    <row r="6" spans="1:8" x14ac:dyDescent="0.25">
      <c r="A6" s="471"/>
      <c r="B6" s="471"/>
      <c r="C6" s="471"/>
      <c r="D6" s="471"/>
      <c r="E6" s="471"/>
      <c r="F6" s="471"/>
      <c r="G6" s="471"/>
      <c r="H6" s="471"/>
    </row>
    <row r="7" spans="1:8" x14ac:dyDescent="0.25">
      <c r="A7" s="471"/>
      <c r="B7" s="471"/>
      <c r="C7" s="471"/>
      <c r="D7" s="471"/>
      <c r="E7" s="471"/>
      <c r="F7" s="471"/>
      <c r="G7" s="471"/>
      <c r="H7" s="471"/>
    </row>
    <row r="8" spans="1:8" x14ac:dyDescent="0.25">
      <c r="A8" s="472" t="s">
        <v>44</v>
      </c>
      <c r="B8" s="472"/>
      <c r="C8" s="472"/>
      <c r="D8" s="472"/>
      <c r="E8" s="472"/>
      <c r="F8" s="472"/>
      <c r="G8" s="472"/>
      <c r="H8" s="472"/>
    </row>
    <row r="9" spans="1:8" x14ac:dyDescent="0.25">
      <c r="A9" s="472"/>
      <c r="B9" s="472"/>
      <c r="C9" s="472"/>
      <c r="D9" s="472"/>
      <c r="E9" s="472"/>
      <c r="F9" s="472"/>
      <c r="G9" s="472"/>
      <c r="H9" s="472"/>
    </row>
    <row r="10" spans="1:8" x14ac:dyDescent="0.25">
      <c r="A10" s="472"/>
      <c r="B10" s="472"/>
      <c r="C10" s="472"/>
      <c r="D10" s="472"/>
      <c r="E10" s="472"/>
      <c r="F10" s="472"/>
      <c r="G10" s="472"/>
      <c r="H10" s="472"/>
    </row>
    <row r="11" spans="1:8" x14ac:dyDescent="0.25">
      <c r="A11" s="472"/>
      <c r="B11" s="472"/>
      <c r="C11" s="472"/>
      <c r="D11" s="472"/>
      <c r="E11" s="472"/>
      <c r="F11" s="472"/>
      <c r="G11" s="472"/>
      <c r="H11" s="472"/>
    </row>
    <row r="12" spans="1:8" x14ac:dyDescent="0.25">
      <c r="A12" s="472"/>
      <c r="B12" s="472"/>
      <c r="C12" s="472"/>
      <c r="D12" s="472"/>
      <c r="E12" s="472"/>
      <c r="F12" s="472"/>
      <c r="G12" s="472"/>
      <c r="H12" s="472"/>
    </row>
    <row r="13" spans="1:8" x14ac:dyDescent="0.25">
      <c r="A13" s="472"/>
      <c r="B13" s="472"/>
      <c r="C13" s="472"/>
      <c r="D13" s="472"/>
      <c r="E13" s="472"/>
      <c r="F13" s="472"/>
      <c r="G13" s="472"/>
      <c r="H13" s="472"/>
    </row>
    <row r="14" spans="1:8" x14ac:dyDescent="0.25">
      <c r="A14" s="472"/>
      <c r="B14" s="472"/>
      <c r="C14" s="472"/>
      <c r="D14" s="472"/>
      <c r="E14" s="472"/>
      <c r="F14" s="472"/>
      <c r="G14" s="472"/>
      <c r="H14" s="472"/>
    </row>
    <row r="15" spans="1:8" ht="19.5" customHeight="1" x14ac:dyDescent="0.25"/>
    <row r="16" spans="1:8" ht="19.5" customHeight="1" x14ac:dyDescent="0.25">
      <c r="A16" s="473" t="s">
        <v>29</v>
      </c>
      <c r="B16" s="474"/>
      <c r="C16" s="474"/>
      <c r="D16" s="474"/>
      <c r="E16" s="474"/>
      <c r="F16" s="474"/>
      <c r="G16" s="474"/>
      <c r="H16" s="475"/>
    </row>
    <row r="17" spans="1:13" ht="18.75" x14ac:dyDescent="0.3">
      <c r="A17" s="275" t="s">
        <v>45</v>
      </c>
      <c r="B17" s="275"/>
    </row>
    <row r="18" spans="1:13" ht="18.75" x14ac:dyDescent="0.3">
      <c r="A18" s="277" t="s">
        <v>31</v>
      </c>
      <c r="B18" s="481" t="s">
        <v>5</v>
      </c>
      <c r="C18" s="481"/>
      <c r="D18" s="368"/>
      <c r="E18" s="368"/>
    </row>
    <row r="19" spans="1:13" ht="18.75" x14ac:dyDescent="0.3">
      <c r="A19" s="277" t="s">
        <v>32</v>
      </c>
      <c r="B19" s="369" t="s">
        <v>124</v>
      </c>
      <c r="C19" s="449">
        <v>15</v>
      </c>
    </row>
    <row r="20" spans="1:13" ht="18.75" x14ac:dyDescent="0.3">
      <c r="A20" s="277" t="s">
        <v>33</v>
      </c>
      <c r="B20" s="452" t="s">
        <v>119</v>
      </c>
    </row>
    <row r="21" spans="1:13" ht="18.75" x14ac:dyDescent="0.3">
      <c r="A21" s="277" t="s">
        <v>34</v>
      </c>
      <c r="B21" s="453" t="s">
        <v>117</v>
      </c>
      <c r="C21" s="393"/>
      <c r="D21" s="393"/>
      <c r="E21" s="393"/>
      <c r="F21" s="393"/>
      <c r="G21" s="393"/>
      <c r="H21" s="393"/>
    </row>
    <row r="22" spans="1:13" ht="18.75" x14ac:dyDescent="0.3">
      <c r="A22" s="277" t="s">
        <v>35</v>
      </c>
      <c r="B22" s="370">
        <v>42192</v>
      </c>
    </row>
    <row r="23" spans="1:13" ht="18.75" x14ac:dyDescent="0.3">
      <c r="A23" s="277" t="s">
        <v>36</v>
      </c>
      <c r="B23" s="370">
        <v>42195</v>
      </c>
    </row>
    <row r="24" spans="1:13" ht="18.75" x14ac:dyDescent="0.3">
      <c r="A24" s="277"/>
      <c r="B24" s="280"/>
    </row>
    <row r="25" spans="1:13" ht="18.75" x14ac:dyDescent="0.3">
      <c r="A25" s="281" t="s">
        <v>1</v>
      </c>
      <c r="B25" s="280"/>
    </row>
    <row r="26" spans="1:13" ht="26.25" customHeight="1" x14ac:dyDescent="0.4">
      <c r="A26" s="282" t="s">
        <v>4</v>
      </c>
      <c r="B26" s="480" t="s">
        <v>116</v>
      </c>
      <c r="C26" s="479"/>
    </row>
    <row r="27" spans="1:13" ht="26.25" customHeight="1" x14ac:dyDescent="0.4">
      <c r="A27" s="284" t="s">
        <v>46</v>
      </c>
      <c r="B27" s="422"/>
    </row>
    <row r="28" spans="1:13" ht="27" customHeight="1" x14ac:dyDescent="0.4">
      <c r="A28" s="284" t="s">
        <v>6</v>
      </c>
      <c r="B28" s="423">
        <v>87.6</v>
      </c>
    </row>
    <row r="29" spans="1:13" s="11" customFormat="1" ht="27" customHeight="1" x14ac:dyDescent="0.4">
      <c r="A29" s="284" t="s">
        <v>47</v>
      </c>
      <c r="B29" s="422">
        <v>0</v>
      </c>
      <c r="C29" s="490" t="s">
        <v>48</v>
      </c>
      <c r="D29" s="491"/>
      <c r="E29" s="491"/>
      <c r="F29" s="491"/>
      <c r="G29" s="492"/>
      <c r="I29" s="286"/>
      <c r="J29" s="286"/>
      <c r="K29" s="286"/>
    </row>
    <row r="30" spans="1:13" s="11" customFormat="1" ht="19.5" customHeight="1" x14ac:dyDescent="0.3">
      <c r="A30" s="284" t="s">
        <v>49</v>
      </c>
      <c r="B30" s="283">
        <f>B28-B29</f>
        <v>87.6</v>
      </c>
      <c r="C30" s="287"/>
      <c r="D30" s="287"/>
      <c r="E30" s="287"/>
      <c r="F30" s="287"/>
      <c r="G30" s="288"/>
      <c r="I30" s="286"/>
      <c r="J30" s="286"/>
      <c r="K30" s="286"/>
    </row>
    <row r="31" spans="1:13" s="11" customFormat="1" ht="27" customHeight="1" x14ac:dyDescent="0.4">
      <c r="A31" s="284" t="s">
        <v>50</v>
      </c>
      <c r="B31" s="424">
        <v>1</v>
      </c>
      <c r="C31" s="476" t="s">
        <v>51</v>
      </c>
      <c r="D31" s="477"/>
      <c r="E31" s="477"/>
      <c r="F31" s="477"/>
      <c r="G31" s="477"/>
      <c r="H31" s="478"/>
      <c r="I31" s="286"/>
      <c r="J31" s="286"/>
      <c r="K31" s="286"/>
    </row>
    <row r="32" spans="1:13" s="11" customFormat="1" ht="27" customHeight="1" x14ac:dyDescent="0.4">
      <c r="A32" s="284" t="s">
        <v>52</v>
      </c>
      <c r="B32" s="424">
        <v>1</v>
      </c>
      <c r="C32" s="476" t="s">
        <v>53</v>
      </c>
      <c r="D32" s="477"/>
      <c r="E32" s="477"/>
      <c r="F32" s="477"/>
      <c r="G32" s="477"/>
      <c r="H32" s="478"/>
      <c r="I32" s="286"/>
      <c r="J32" s="286"/>
      <c r="K32" s="290"/>
      <c r="L32" s="290"/>
      <c r="M32" s="291"/>
    </row>
    <row r="33" spans="1:13" s="11" customFormat="1" ht="17.25" customHeight="1" x14ac:dyDescent="0.3">
      <c r="A33" s="284"/>
      <c r="B33" s="289"/>
      <c r="C33" s="292"/>
      <c r="D33" s="292"/>
      <c r="E33" s="292"/>
      <c r="F33" s="292"/>
      <c r="G33" s="292"/>
      <c r="H33" s="292"/>
      <c r="I33" s="286"/>
      <c r="J33" s="286"/>
      <c r="K33" s="290"/>
      <c r="L33" s="290"/>
      <c r="M33" s="291"/>
    </row>
    <row r="34" spans="1:13" s="11" customFormat="1" ht="18.75" x14ac:dyDescent="0.3">
      <c r="A34" s="284" t="s">
        <v>54</v>
      </c>
      <c r="B34" s="293">
        <f>B31/B32</f>
        <v>1</v>
      </c>
      <c r="C34" s="276" t="s">
        <v>55</v>
      </c>
      <c r="D34" s="276"/>
      <c r="E34" s="276"/>
      <c r="F34" s="276"/>
      <c r="G34" s="276"/>
      <c r="I34" s="286"/>
      <c r="J34" s="286"/>
      <c r="K34" s="290"/>
      <c r="L34" s="290"/>
      <c r="M34" s="291"/>
    </row>
    <row r="35" spans="1:13" s="11" customFormat="1" ht="19.5" customHeight="1" x14ac:dyDescent="0.3">
      <c r="A35" s="284"/>
      <c r="B35" s="283"/>
      <c r="G35" s="276"/>
      <c r="I35" s="286"/>
      <c r="J35" s="286"/>
      <c r="K35" s="290"/>
      <c r="L35" s="290"/>
      <c r="M35" s="291"/>
    </row>
    <row r="36" spans="1:13" s="11" customFormat="1" ht="27" customHeight="1" x14ac:dyDescent="0.4">
      <c r="A36" s="294" t="s">
        <v>56</v>
      </c>
      <c r="B36" s="425">
        <v>50</v>
      </c>
      <c r="C36" s="276"/>
      <c r="D36" s="482" t="s">
        <v>57</v>
      </c>
      <c r="E36" s="506"/>
      <c r="F36" s="482" t="s">
        <v>58</v>
      </c>
      <c r="G36" s="483"/>
      <c r="I36" s="286"/>
      <c r="J36" s="286"/>
      <c r="K36" s="290"/>
      <c r="L36" s="290"/>
      <c r="M36" s="291"/>
    </row>
    <row r="37" spans="1:13" s="11" customFormat="1" ht="26.25" customHeight="1" x14ac:dyDescent="0.4">
      <c r="A37" s="295" t="s">
        <v>59</v>
      </c>
      <c r="B37" s="426">
        <v>3</v>
      </c>
      <c r="C37" s="297" t="s">
        <v>60</v>
      </c>
      <c r="D37" s="298" t="s">
        <v>61</v>
      </c>
      <c r="E37" s="355" t="s">
        <v>62</v>
      </c>
      <c r="F37" s="298" t="s">
        <v>61</v>
      </c>
      <c r="G37" s="299" t="s">
        <v>62</v>
      </c>
      <c r="I37" s="286"/>
      <c r="J37" s="286"/>
      <c r="K37" s="290"/>
      <c r="L37" s="290"/>
      <c r="M37" s="291"/>
    </row>
    <row r="38" spans="1:13" s="11" customFormat="1" ht="26.25" customHeight="1" x14ac:dyDescent="0.4">
      <c r="A38" s="295" t="s">
        <v>63</v>
      </c>
      <c r="B38" s="426">
        <v>10</v>
      </c>
      <c r="C38" s="300">
        <v>1</v>
      </c>
      <c r="D38" s="427">
        <v>86497977</v>
      </c>
      <c r="E38" s="371">
        <f>IF(ISBLANK(D38),"-",$D$48/$D$45*D38)</f>
        <v>113540033.97092259</v>
      </c>
      <c r="F38" s="427">
        <v>89691566</v>
      </c>
      <c r="G38" s="374">
        <f>IF(ISBLANK(F38),"-",$D$48/$F$45*F38)</f>
        <v>112720329.26982534</v>
      </c>
      <c r="I38" s="286"/>
      <c r="J38" s="286"/>
      <c r="K38" s="290"/>
      <c r="L38" s="290"/>
      <c r="M38" s="291"/>
    </row>
    <row r="39" spans="1:13" s="11" customFormat="1" ht="26.25" customHeight="1" x14ac:dyDescent="0.4">
      <c r="A39" s="295" t="s">
        <v>64</v>
      </c>
      <c r="B39" s="426">
        <v>1</v>
      </c>
      <c r="C39" s="296">
        <v>2</v>
      </c>
      <c r="D39" s="428">
        <v>86635486</v>
      </c>
      <c r="E39" s="372">
        <f>IF(ISBLANK(D39),"-",$D$48/$D$45*D39)</f>
        <v>113720532.71867141</v>
      </c>
      <c r="F39" s="428">
        <v>89788804</v>
      </c>
      <c r="G39" s="375">
        <f>IF(ISBLANK(F39),"-",$D$48/$F$45*F39)</f>
        <v>112842533.61819784</v>
      </c>
      <c r="I39" s="286"/>
      <c r="J39" s="286"/>
      <c r="K39" s="290"/>
      <c r="L39" s="290"/>
      <c r="M39" s="291"/>
    </row>
    <row r="40" spans="1:13" ht="26.25" customHeight="1" x14ac:dyDescent="0.4">
      <c r="A40" s="295" t="s">
        <v>65</v>
      </c>
      <c r="B40" s="426">
        <v>1</v>
      </c>
      <c r="C40" s="296">
        <v>3</v>
      </c>
      <c r="D40" s="428">
        <v>85873428</v>
      </c>
      <c r="E40" s="372">
        <f>IF(ISBLANK(D40),"-",$D$48/$D$45*D40)</f>
        <v>112720230.81325445</v>
      </c>
      <c r="F40" s="428">
        <v>89780575</v>
      </c>
      <c r="G40" s="375">
        <f>IF(ISBLANK(F40),"-",$D$48/$F$45*F40)</f>
        <v>112832191.78082195</v>
      </c>
      <c r="K40" s="290"/>
      <c r="L40" s="290"/>
      <c r="M40" s="302"/>
    </row>
    <row r="41" spans="1:13" ht="26.25" customHeight="1" x14ac:dyDescent="0.4">
      <c r="A41" s="295" t="s">
        <v>66</v>
      </c>
      <c r="B41" s="426">
        <v>1</v>
      </c>
      <c r="C41" s="303">
        <v>4</v>
      </c>
      <c r="D41" s="429"/>
      <c r="E41" s="373" t="str">
        <f>IF(ISBLANK(D41),"-",$D$48/$D$45*D41)</f>
        <v>-</v>
      </c>
      <c r="F41" s="429"/>
      <c r="G41" s="376" t="str">
        <f>IF(ISBLANK(F41),"-",$D$48/$F$45*F41)</f>
        <v>-</v>
      </c>
      <c r="K41" s="290"/>
      <c r="L41" s="290"/>
      <c r="M41" s="302"/>
    </row>
    <row r="42" spans="1:13" ht="27" customHeight="1" x14ac:dyDescent="0.4">
      <c r="A42" s="295" t="s">
        <v>67</v>
      </c>
      <c r="B42" s="426">
        <v>1</v>
      </c>
      <c r="C42" s="305" t="s">
        <v>68</v>
      </c>
      <c r="D42" s="404">
        <f>AVERAGE(D38:D41)</f>
        <v>86335630.333333328</v>
      </c>
      <c r="E42" s="330">
        <f>AVERAGE(E38:E41)</f>
        <v>113326932.50094949</v>
      </c>
      <c r="F42" s="306">
        <f>AVERAGE(F38:F41)</f>
        <v>89753648.333333328</v>
      </c>
      <c r="G42" s="307">
        <f>AVERAGE(G38:G41)</f>
        <v>112798351.55628173</v>
      </c>
      <c r="H42" s="390"/>
    </row>
    <row r="43" spans="1:13" ht="26.25" customHeight="1" x14ac:dyDescent="0.4">
      <c r="A43" s="295" t="s">
        <v>69</v>
      </c>
      <c r="B43" s="423">
        <v>1</v>
      </c>
      <c r="C43" s="405" t="s">
        <v>70</v>
      </c>
      <c r="D43" s="430">
        <v>26.09</v>
      </c>
      <c r="E43" s="302"/>
      <c r="F43" s="431">
        <v>27.25</v>
      </c>
      <c r="H43" s="390"/>
    </row>
    <row r="44" spans="1:13" ht="26.25" customHeight="1" x14ac:dyDescent="0.4">
      <c r="A44" s="295" t="s">
        <v>71</v>
      </c>
      <c r="B44" s="423">
        <v>1</v>
      </c>
      <c r="C44" s="406" t="s">
        <v>72</v>
      </c>
      <c r="D44" s="407">
        <f>D43*$B$34</f>
        <v>26.09</v>
      </c>
      <c r="E44" s="309"/>
      <c r="F44" s="308">
        <f>F43*$B$34</f>
        <v>27.25</v>
      </c>
      <c r="H44" s="390"/>
    </row>
    <row r="45" spans="1:13" ht="19.5" customHeight="1" x14ac:dyDescent="0.3">
      <c r="A45" s="295" t="s">
        <v>73</v>
      </c>
      <c r="B45" s="403">
        <f>(B44/B43)*(B42/B41)*(B40/B39)*(B38/B37)*B36</f>
        <v>166.66666666666669</v>
      </c>
      <c r="C45" s="406" t="s">
        <v>74</v>
      </c>
      <c r="D45" s="408">
        <f>D44*$B$30/100</f>
        <v>22.854839999999999</v>
      </c>
      <c r="E45" s="311"/>
      <c r="F45" s="310">
        <f>F44*$B$30/100</f>
        <v>23.870999999999999</v>
      </c>
      <c r="H45" s="390"/>
    </row>
    <row r="46" spans="1:13" ht="19.5" customHeight="1" x14ac:dyDescent="0.3">
      <c r="A46" s="484" t="s">
        <v>75</v>
      </c>
      <c r="B46" s="485"/>
      <c r="C46" s="406" t="s">
        <v>76</v>
      </c>
      <c r="D46" s="407">
        <f>D45/$B$45</f>
        <v>0.13712903999999998</v>
      </c>
      <c r="E46" s="311"/>
      <c r="F46" s="312">
        <f>F45/$B$45</f>
        <v>0.14322599999999996</v>
      </c>
      <c r="H46" s="390"/>
    </row>
    <row r="47" spans="1:13" ht="27" customHeight="1" x14ac:dyDescent="0.4">
      <c r="A47" s="486"/>
      <c r="B47" s="487"/>
      <c r="C47" s="406" t="s">
        <v>77</v>
      </c>
      <c r="D47" s="432">
        <v>0.18</v>
      </c>
      <c r="F47" s="314"/>
      <c r="H47" s="390"/>
    </row>
    <row r="48" spans="1:13" ht="18.75" x14ac:dyDescent="0.3">
      <c r="C48" s="406" t="s">
        <v>78</v>
      </c>
      <c r="D48" s="407">
        <f>D47*$B$45</f>
        <v>30.000000000000004</v>
      </c>
      <c r="F48" s="314"/>
      <c r="H48" s="390"/>
    </row>
    <row r="49" spans="1:11" ht="19.5" customHeight="1" x14ac:dyDescent="0.3">
      <c r="C49" s="409" t="s">
        <v>79</v>
      </c>
      <c r="D49" s="410">
        <f>D48/B34</f>
        <v>30.000000000000004</v>
      </c>
      <c r="F49" s="317"/>
      <c r="H49" s="390"/>
    </row>
    <row r="50" spans="1:11" ht="18.75" x14ac:dyDescent="0.3">
      <c r="C50" s="411" t="s">
        <v>80</v>
      </c>
      <c r="D50" s="412">
        <f>AVERAGE(E38:E41,G38:G41)</f>
        <v>113062642.02861559</v>
      </c>
      <c r="F50" s="317"/>
      <c r="H50" s="390"/>
    </row>
    <row r="51" spans="1:11" ht="18.75" x14ac:dyDescent="0.3">
      <c r="C51" s="313" t="s">
        <v>81</v>
      </c>
      <c r="D51" s="318">
        <f>STDEV(E38:E41,G38:G41)/D50</f>
        <v>3.948921241594427E-3</v>
      </c>
      <c r="F51" s="317"/>
    </row>
    <row r="52" spans="1:11" ht="19.5" customHeight="1" x14ac:dyDescent="0.3">
      <c r="C52" s="315" t="s">
        <v>18</v>
      </c>
      <c r="D52" s="319">
        <f>COUNT(E38:E41,G38:G41)</f>
        <v>6</v>
      </c>
      <c r="F52" s="317"/>
    </row>
    <row r="54" spans="1:11" ht="18.75" x14ac:dyDescent="0.3">
      <c r="A54" s="275" t="s">
        <v>1</v>
      </c>
      <c r="B54" s="320" t="s">
        <v>82</v>
      </c>
    </row>
    <row r="55" spans="1:11" ht="18.75" x14ac:dyDescent="0.3">
      <c r="A55" s="276" t="s">
        <v>83</v>
      </c>
      <c r="B55" s="279" t="str">
        <f>B21</f>
        <v xml:space="preserve">ATAZANAVIR SULFATE 300 mg </v>
      </c>
    </row>
    <row r="56" spans="1:11" ht="26.25" customHeight="1" x14ac:dyDescent="0.4">
      <c r="A56" s="278" t="s">
        <v>84</v>
      </c>
      <c r="B56" s="422">
        <v>300</v>
      </c>
      <c r="C56" s="276" t="str">
        <f>B20</f>
        <v xml:space="preserve">ATAZANAVIR SULFATE </v>
      </c>
      <c r="H56" s="285"/>
    </row>
    <row r="57" spans="1:11" ht="18.75" x14ac:dyDescent="0.3">
      <c r="A57" s="279" t="s">
        <v>85</v>
      </c>
      <c r="B57" s="450">
        <f>Uniformity!C46</f>
        <v>1972.9455000000003</v>
      </c>
      <c r="H57" s="285"/>
    </row>
    <row r="58" spans="1:11" ht="19.5" customHeight="1" x14ac:dyDescent="0.3">
      <c r="H58" s="285"/>
    </row>
    <row r="59" spans="1:11" s="11" customFormat="1" ht="27" customHeight="1" x14ac:dyDescent="0.4">
      <c r="A59" s="294" t="s">
        <v>86</v>
      </c>
      <c r="B59" s="425">
        <v>100</v>
      </c>
      <c r="C59" s="276"/>
      <c r="D59" s="322" t="s">
        <v>87</v>
      </c>
      <c r="E59" s="321" t="s">
        <v>88</v>
      </c>
      <c r="F59" s="321" t="s">
        <v>61</v>
      </c>
      <c r="G59" s="321" t="s">
        <v>89</v>
      </c>
      <c r="H59" s="297" t="s">
        <v>90</v>
      </c>
      <c r="K59" s="286"/>
    </row>
    <row r="60" spans="1:11" s="11" customFormat="1" ht="22.5" customHeight="1" x14ac:dyDescent="0.4">
      <c r="A60" s="295" t="s">
        <v>91</v>
      </c>
      <c r="B60" s="426">
        <v>3</v>
      </c>
      <c r="C60" s="499" t="s">
        <v>92</v>
      </c>
      <c r="D60" s="503">
        <v>1969.54</v>
      </c>
      <c r="E60" s="323">
        <v>1</v>
      </c>
      <c r="F60" s="434">
        <v>110455696</v>
      </c>
      <c r="G60" s="359">
        <f>IF(ISBLANK(F60),"-",(F60/$D$50*$D$47*$B$68)*($B$57/$D$60))</f>
        <v>293.58950362129491</v>
      </c>
      <c r="H60" s="361">
        <f>IF(ISBLANK(F60),"-",G60/$B$56)</f>
        <v>0.97863167873764967</v>
      </c>
      <c r="K60" s="286"/>
    </row>
    <row r="61" spans="1:11" s="11" customFormat="1" ht="26.25" customHeight="1" x14ac:dyDescent="0.4">
      <c r="A61" s="295" t="s">
        <v>93</v>
      </c>
      <c r="B61" s="426">
        <v>50</v>
      </c>
      <c r="C61" s="500"/>
      <c r="D61" s="504"/>
      <c r="E61" s="324">
        <v>2</v>
      </c>
      <c r="F61" s="428">
        <v>107557649</v>
      </c>
      <c r="G61" s="360">
        <f>IF(ISBLANK(F61),"-",(F61/$D$50*$D$47*$B$68)*($B$57/$D$60))</f>
        <v>285.88654025215197</v>
      </c>
      <c r="H61" s="362">
        <f t="shared" ref="H61:H71" si="0">IF(ISBLANK(F61),"-",G61/$B$56)</f>
        <v>0.95295513417383992</v>
      </c>
      <c r="K61" s="286"/>
    </row>
    <row r="62" spans="1:11" s="11" customFormat="1" ht="26.25" customHeight="1" x14ac:dyDescent="0.4">
      <c r="A62" s="295" t="s">
        <v>94</v>
      </c>
      <c r="B62" s="426">
        <v>1</v>
      </c>
      <c r="C62" s="500"/>
      <c r="D62" s="504"/>
      <c r="E62" s="324">
        <v>3</v>
      </c>
      <c r="F62" s="428">
        <v>110122749</v>
      </c>
      <c r="G62" s="360">
        <f>IF(ISBLANK(F62),"-",(F62/$D$50*$D$47*$B$68)*($B$57/$D$60))</f>
        <v>292.70453572917097</v>
      </c>
      <c r="H62" s="362">
        <f t="shared" si="0"/>
        <v>0.97568178576390319</v>
      </c>
      <c r="K62" s="286"/>
    </row>
    <row r="63" spans="1:11" ht="21" customHeight="1" x14ac:dyDescent="0.4">
      <c r="A63" s="295" t="s">
        <v>95</v>
      </c>
      <c r="B63" s="426">
        <v>1</v>
      </c>
      <c r="C63" s="501"/>
      <c r="D63" s="505"/>
      <c r="E63" s="325">
        <v>4</v>
      </c>
      <c r="F63" s="435"/>
      <c r="G63" s="360" t="str">
        <f>IF(ISBLANK(F63),"-",(F63/$D$50*$D$47*$B$68)*($B$57/$D$60))</f>
        <v>-</v>
      </c>
      <c r="H63" s="362" t="str">
        <f t="shared" si="0"/>
        <v>-</v>
      </c>
    </row>
    <row r="64" spans="1:11" ht="26.25" customHeight="1" x14ac:dyDescent="0.4">
      <c r="A64" s="295" t="s">
        <v>96</v>
      </c>
      <c r="B64" s="426">
        <v>1</v>
      </c>
      <c r="C64" s="499" t="s">
        <v>97</v>
      </c>
      <c r="D64" s="503">
        <v>1953.85</v>
      </c>
      <c r="E64" s="323">
        <v>1</v>
      </c>
      <c r="F64" s="434">
        <v>107895630</v>
      </c>
      <c r="G64" s="386">
        <f>IF(ISBLANK(F64),"-",(F64/$D$50*$D$47*$B$68)*($B$57/$D$64))</f>
        <v>289.08785688383909</v>
      </c>
      <c r="H64" s="383">
        <f>IF(ISBLANK(F64),"-",G64/$B$56)</f>
        <v>0.963626189612797</v>
      </c>
    </row>
    <row r="65" spans="1:8" ht="26.25" customHeight="1" x14ac:dyDescent="0.4">
      <c r="A65" s="295" t="s">
        <v>98</v>
      </c>
      <c r="B65" s="426">
        <v>1</v>
      </c>
      <c r="C65" s="500"/>
      <c r="D65" s="504"/>
      <c r="E65" s="324">
        <v>2</v>
      </c>
      <c r="F65" s="428">
        <v>110331541</v>
      </c>
      <c r="G65" s="387">
        <f>IF(ISBLANK(F65),"-",(F65/$D$50*$D$47*$B$68)*($B$57/$D$64))</f>
        <v>295.61446311015033</v>
      </c>
      <c r="H65" s="384">
        <f t="shared" si="0"/>
        <v>0.98538154370050113</v>
      </c>
    </row>
    <row r="66" spans="1:8" ht="26.25" customHeight="1" x14ac:dyDescent="0.4">
      <c r="A66" s="295" t="s">
        <v>99</v>
      </c>
      <c r="B66" s="426">
        <v>1</v>
      </c>
      <c r="C66" s="500"/>
      <c r="D66" s="504"/>
      <c r="E66" s="324">
        <v>3</v>
      </c>
      <c r="F66" s="428">
        <v>111028014</v>
      </c>
      <c r="G66" s="387">
        <f>IF(ISBLANK(F66),"-",(F66/$D$50*$D$47*$B$68)*($B$57/$D$64))</f>
        <v>297.48054320021009</v>
      </c>
      <c r="H66" s="384">
        <f>IF(ISBLANK(F66),"-",G66/$B$56)</f>
        <v>0.99160181066736697</v>
      </c>
    </row>
    <row r="67" spans="1:8" ht="21" customHeight="1" x14ac:dyDescent="0.4">
      <c r="A67" s="295" t="s">
        <v>100</v>
      </c>
      <c r="B67" s="426">
        <v>1</v>
      </c>
      <c r="C67" s="501"/>
      <c r="D67" s="505"/>
      <c r="E67" s="325">
        <v>4</v>
      </c>
      <c r="F67" s="435"/>
      <c r="G67" s="388" t="str">
        <f>IF(ISBLANK(F67),"-",(F67/$D$50*$D$47*$B$68)*($B$57/$D$64))</f>
        <v>-</v>
      </c>
      <c r="H67" s="385" t="str">
        <f t="shared" si="0"/>
        <v>-</v>
      </c>
    </row>
    <row r="68" spans="1:8" ht="21.75" customHeight="1" x14ac:dyDescent="0.4">
      <c r="A68" s="295" t="s">
        <v>101</v>
      </c>
      <c r="B68" s="395">
        <f>(B67/B66)*(B65/B64)*(B63/B62)*(B61/B60)*B59</f>
        <v>1666.6666666666667</v>
      </c>
      <c r="C68" s="499" t="s">
        <v>102</v>
      </c>
      <c r="D68" s="503">
        <v>1946.27</v>
      </c>
      <c r="E68" s="323">
        <v>1</v>
      </c>
      <c r="F68" s="434">
        <v>108868452</v>
      </c>
      <c r="G68" s="386">
        <f>IF(ISBLANK(F68),"-",(F68/$D$50*$D$47*$B$68)*($B$57/$D$68))</f>
        <v>292.83040818015581</v>
      </c>
      <c r="H68" s="362">
        <f>IF(ISBLANK(F68),"-",G68/$B$56)</f>
        <v>0.97610136060051933</v>
      </c>
    </row>
    <row r="69" spans="1:8" ht="21.75" customHeight="1" x14ac:dyDescent="0.4">
      <c r="A69" s="413" t="s">
        <v>103</v>
      </c>
      <c r="B69" s="433">
        <f>D47*B68/B56*B57</f>
        <v>1972.9455000000003</v>
      </c>
      <c r="C69" s="500"/>
      <c r="D69" s="504"/>
      <c r="E69" s="324">
        <v>2</v>
      </c>
      <c r="F69" s="428">
        <v>108713683</v>
      </c>
      <c r="G69" s="387">
        <f>IF(ISBLANK(F69),"-",(F69/$D$50*$D$47*$B$68)*($B$57/$D$68))</f>
        <v>292.41411614503409</v>
      </c>
      <c r="H69" s="362">
        <f t="shared" si="0"/>
        <v>0.97471372048344695</v>
      </c>
    </row>
    <row r="70" spans="1:8" ht="22.5" customHeight="1" x14ac:dyDescent="0.4">
      <c r="A70" s="493" t="s">
        <v>75</v>
      </c>
      <c r="B70" s="494"/>
      <c r="C70" s="500"/>
      <c r="D70" s="504"/>
      <c r="E70" s="324">
        <v>3</v>
      </c>
      <c r="F70" s="428">
        <v>109243407</v>
      </c>
      <c r="G70" s="387">
        <f>IF(ISBLANK(F70),"-",(F70/$D$50*$D$47*$B$68)*($B$57/$D$68))</f>
        <v>293.83894852110961</v>
      </c>
      <c r="H70" s="362">
        <f t="shared" si="0"/>
        <v>0.97946316173703207</v>
      </c>
    </row>
    <row r="71" spans="1:8" ht="21.75" customHeight="1" x14ac:dyDescent="0.4">
      <c r="A71" s="495"/>
      <c r="B71" s="496"/>
      <c r="C71" s="502"/>
      <c r="D71" s="505"/>
      <c r="E71" s="325">
        <v>4</v>
      </c>
      <c r="F71" s="435"/>
      <c r="G71" s="388" t="str">
        <f>IF(ISBLANK(F71),"-",(F71/$D$50*$D$47*$B$68)*($B$57/$D$68))</f>
        <v>-</v>
      </c>
      <c r="H71" s="363" t="str">
        <f t="shared" si="0"/>
        <v>-</v>
      </c>
    </row>
    <row r="72" spans="1:8" ht="26.25" customHeight="1" x14ac:dyDescent="0.4">
      <c r="A72" s="326"/>
      <c r="B72" s="326"/>
      <c r="C72" s="326"/>
      <c r="D72" s="326"/>
      <c r="E72" s="326"/>
      <c r="F72" s="327"/>
      <c r="G72" s="316" t="s">
        <v>68</v>
      </c>
      <c r="H72" s="436">
        <f>AVERAGE(H60:H71)</f>
        <v>0.97535070949745062</v>
      </c>
    </row>
    <row r="73" spans="1:8" ht="26.25" customHeight="1" x14ac:dyDescent="0.4">
      <c r="C73" s="326"/>
      <c r="D73" s="326"/>
      <c r="E73" s="326"/>
      <c r="F73" s="327"/>
      <c r="G73" s="313" t="s">
        <v>81</v>
      </c>
      <c r="H73" s="437">
        <f>STDEV(H60:H71)/H72</f>
        <v>1.1647663125917239E-2</v>
      </c>
    </row>
    <row r="74" spans="1:8" ht="27" customHeight="1" x14ac:dyDescent="0.4">
      <c r="A74" s="326"/>
      <c r="B74" s="326"/>
      <c r="C74" s="327"/>
      <c r="D74" s="327"/>
      <c r="E74" s="328"/>
      <c r="F74" s="327"/>
      <c r="G74" s="315" t="s">
        <v>18</v>
      </c>
      <c r="H74" s="438">
        <f>COUNT(H60:H71)</f>
        <v>9</v>
      </c>
    </row>
    <row r="75" spans="1:8" ht="18.75" x14ac:dyDescent="0.3">
      <c r="A75" s="326"/>
      <c r="B75" s="326"/>
      <c r="C75" s="327"/>
      <c r="D75" s="327"/>
      <c r="E75" s="328"/>
      <c r="F75" s="327"/>
      <c r="G75" s="348"/>
      <c r="H75" s="402"/>
    </row>
    <row r="76" spans="1:8" ht="18.75" x14ac:dyDescent="0.3">
      <c r="A76" s="282" t="s">
        <v>104</v>
      </c>
      <c r="B76" s="419" t="s">
        <v>105</v>
      </c>
      <c r="C76" s="497" t="str">
        <f>B20</f>
        <v xml:space="preserve">ATAZANAVIR SULFATE </v>
      </c>
      <c r="D76" s="497"/>
      <c r="E76" s="420" t="s">
        <v>106</v>
      </c>
      <c r="F76" s="420"/>
      <c r="G76" s="421">
        <f>H72</f>
        <v>0.97535070949745062</v>
      </c>
      <c r="H76" s="402"/>
    </row>
    <row r="77" spans="1:8" ht="18.75" x14ac:dyDescent="0.3">
      <c r="A77" s="326"/>
      <c r="B77" s="326"/>
      <c r="C77" s="327"/>
      <c r="D77" s="327"/>
      <c r="E77" s="328"/>
      <c r="F77" s="327"/>
      <c r="G77" s="348"/>
      <c r="H77" s="402"/>
    </row>
    <row r="78" spans="1:8" ht="26.25" customHeight="1" x14ac:dyDescent="0.4">
      <c r="A78" s="281" t="s">
        <v>107</v>
      </c>
      <c r="B78" s="281" t="s">
        <v>108</v>
      </c>
      <c r="D78" s="439">
        <v>45</v>
      </c>
    </row>
    <row r="79" spans="1:8" ht="18.75" x14ac:dyDescent="0.3">
      <c r="A79" s="281"/>
      <c r="B79" s="281"/>
    </row>
    <row r="80" spans="1:8" ht="26.25" customHeight="1" x14ac:dyDescent="0.4">
      <c r="A80" s="282" t="s">
        <v>4</v>
      </c>
      <c r="B80" s="479" t="str">
        <f>B26</f>
        <v>Atazanavir</v>
      </c>
      <c r="C80" s="479"/>
    </row>
    <row r="81" spans="1:11" ht="26.25" customHeight="1" x14ac:dyDescent="0.4">
      <c r="A81" s="284" t="s">
        <v>46</v>
      </c>
      <c r="B81" s="422">
        <f>B27</f>
        <v>0</v>
      </c>
    </row>
    <row r="82" spans="1:11" ht="27" customHeight="1" x14ac:dyDescent="0.4">
      <c r="A82" s="284" t="s">
        <v>6</v>
      </c>
      <c r="B82" s="422">
        <f>B28</f>
        <v>87.6</v>
      </c>
    </row>
    <row r="83" spans="1:11" s="11" customFormat="1" ht="27" customHeight="1" x14ac:dyDescent="0.4">
      <c r="A83" s="284" t="s">
        <v>47</v>
      </c>
      <c r="B83" s="422">
        <f>B29</f>
        <v>0</v>
      </c>
      <c r="C83" s="490" t="s">
        <v>48</v>
      </c>
      <c r="D83" s="491"/>
      <c r="E83" s="491"/>
      <c r="F83" s="491"/>
      <c r="G83" s="492"/>
      <c r="I83" s="286"/>
      <c r="J83" s="286"/>
      <c r="K83" s="286"/>
    </row>
    <row r="84" spans="1:11" s="11" customFormat="1" ht="19.5" customHeight="1" x14ac:dyDescent="0.3">
      <c r="A84" s="284" t="s">
        <v>49</v>
      </c>
      <c r="B84" s="283">
        <f>B82-B83</f>
        <v>87.6</v>
      </c>
      <c r="C84" s="287"/>
      <c r="D84" s="287"/>
      <c r="E84" s="287"/>
      <c r="F84" s="287"/>
      <c r="G84" s="288"/>
      <c r="I84" s="286"/>
      <c r="J84" s="286"/>
      <c r="K84" s="286"/>
    </row>
    <row r="85" spans="1:11" s="11" customFormat="1" ht="27" customHeight="1" x14ac:dyDescent="0.4">
      <c r="A85" s="284" t="s">
        <v>50</v>
      </c>
      <c r="B85" s="424">
        <v>1</v>
      </c>
      <c r="C85" s="476" t="s">
        <v>51</v>
      </c>
      <c r="D85" s="477"/>
      <c r="E85" s="477"/>
      <c r="F85" s="477"/>
      <c r="G85" s="477"/>
      <c r="H85" s="478"/>
      <c r="I85" s="286"/>
      <c r="J85" s="286"/>
      <c r="K85" s="286"/>
    </row>
    <row r="86" spans="1:11" s="11" customFormat="1" ht="27" customHeight="1" x14ac:dyDescent="0.4">
      <c r="A86" s="284" t="s">
        <v>52</v>
      </c>
      <c r="B86" s="424">
        <v>1</v>
      </c>
      <c r="C86" s="476" t="s">
        <v>53</v>
      </c>
      <c r="D86" s="477"/>
      <c r="E86" s="477"/>
      <c r="F86" s="477"/>
      <c r="G86" s="477"/>
      <c r="H86" s="478"/>
      <c r="I86" s="286"/>
      <c r="J86" s="286"/>
      <c r="K86" s="286"/>
    </row>
    <row r="87" spans="1:11" s="11" customFormat="1" ht="18.75" x14ac:dyDescent="0.3">
      <c r="A87" s="284"/>
      <c r="B87" s="283"/>
      <c r="C87" s="287"/>
      <c r="D87" s="287"/>
      <c r="E87" s="287"/>
      <c r="F87" s="287"/>
      <c r="G87" s="288"/>
      <c r="I87" s="286"/>
      <c r="J87" s="286"/>
      <c r="K87" s="286"/>
    </row>
    <row r="88" spans="1:11" s="11" customFormat="1" ht="18.75" x14ac:dyDescent="0.3">
      <c r="A88" s="284" t="s">
        <v>54</v>
      </c>
      <c r="B88" s="293">
        <f>B85/B86</f>
        <v>1</v>
      </c>
      <c r="C88" s="276" t="s">
        <v>55</v>
      </c>
      <c r="D88" s="287"/>
      <c r="E88" s="287"/>
      <c r="F88" s="287"/>
      <c r="G88" s="288"/>
      <c r="I88" s="286"/>
      <c r="J88" s="286"/>
      <c r="K88" s="286"/>
    </row>
    <row r="89" spans="1:11" ht="19.5" customHeight="1" x14ac:dyDescent="0.3">
      <c r="A89" s="281"/>
      <c r="B89" s="281"/>
    </row>
    <row r="90" spans="1:11" ht="27" customHeight="1" x14ac:dyDescent="0.4">
      <c r="A90" s="294" t="s">
        <v>56</v>
      </c>
      <c r="B90" s="425">
        <v>50</v>
      </c>
      <c r="D90" s="357" t="s">
        <v>57</v>
      </c>
      <c r="E90" s="358"/>
      <c r="F90" s="482" t="s">
        <v>58</v>
      </c>
      <c r="G90" s="483"/>
    </row>
    <row r="91" spans="1:11" ht="26.25" customHeight="1" x14ac:dyDescent="0.4">
      <c r="A91" s="295" t="s">
        <v>59</v>
      </c>
      <c r="B91" s="426">
        <v>3</v>
      </c>
      <c r="C91" s="354" t="s">
        <v>60</v>
      </c>
      <c r="D91" s="298" t="s">
        <v>61</v>
      </c>
      <c r="E91" s="355" t="s">
        <v>62</v>
      </c>
      <c r="F91" s="298" t="s">
        <v>61</v>
      </c>
      <c r="G91" s="299" t="s">
        <v>62</v>
      </c>
    </row>
    <row r="92" spans="1:11" ht="26.25" customHeight="1" x14ac:dyDescent="0.4">
      <c r="A92" s="295" t="s">
        <v>63</v>
      </c>
      <c r="B92" s="426">
        <v>10</v>
      </c>
      <c r="C92" s="352">
        <v>1</v>
      </c>
      <c r="D92" s="427">
        <v>86497977</v>
      </c>
      <c r="E92" s="371">
        <f>IF(ISBLANK(D92),"-",$D$102/$D$99*D92)</f>
        <v>113540033.97092259</v>
      </c>
      <c r="F92" s="427">
        <v>89691566</v>
      </c>
      <c r="G92" s="374">
        <f>IF(ISBLANK(F92),"-",$D$102/$F$99*F92)</f>
        <v>112720329.26982534</v>
      </c>
    </row>
    <row r="93" spans="1:11" ht="26.25" customHeight="1" x14ac:dyDescent="0.4">
      <c r="A93" s="295" t="s">
        <v>64</v>
      </c>
      <c r="B93" s="426">
        <v>1</v>
      </c>
      <c r="C93" s="327">
        <v>2</v>
      </c>
      <c r="D93" s="428">
        <v>86635486</v>
      </c>
      <c r="E93" s="372">
        <f>IF(ISBLANK(D93),"-",$D$102/$D$99*D93)</f>
        <v>113720532.71867141</v>
      </c>
      <c r="F93" s="428">
        <v>89788804</v>
      </c>
      <c r="G93" s="375">
        <f>IF(ISBLANK(F93),"-",$D$102/$F$99*F93)</f>
        <v>112842533.61819784</v>
      </c>
    </row>
    <row r="94" spans="1:11" ht="26.25" customHeight="1" x14ac:dyDescent="0.4">
      <c r="A94" s="295" t="s">
        <v>65</v>
      </c>
      <c r="B94" s="426">
        <v>1</v>
      </c>
      <c r="C94" s="327">
        <v>3</v>
      </c>
      <c r="D94" s="428">
        <v>85873428</v>
      </c>
      <c r="E94" s="372">
        <f>IF(ISBLANK(D94),"-",$D$102/$D$99*D94)</f>
        <v>112720230.81325445</v>
      </c>
      <c r="F94" s="428">
        <v>89780575</v>
      </c>
      <c r="G94" s="375">
        <f>IF(ISBLANK(F94),"-",$D$102/$F$99*F94)</f>
        <v>112832191.78082195</v>
      </c>
    </row>
    <row r="95" spans="1:11" ht="26.25" customHeight="1" x14ac:dyDescent="0.4">
      <c r="A95" s="295" t="s">
        <v>66</v>
      </c>
      <c r="B95" s="426">
        <v>1</v>
      </c>
      <c r="C95" s="356">
        <v>4</v>
      </c>
      <c r="D95" s="429"/>
      <c r="E95" s="373" t="str">
        <f>IF(ISBLANK(D95),"-",$D$102/$D$99*D95)</f>
        <v>-</v>
      </c>
      <c r="F95" s="429"/>
      <c r="G95" s="376" t="str">
        <f>IF(ISBLANK(F95),"-",$D$102/$F$99*F95)</f>
        <v>-</v>
      </c>
    </row>
    <row r="96" spans="1:11" ht="27" customHeight="1" x14ac:dyDescent="0.4">
      <c r="A96" s="295" t="s">
        <v>67</v>
      </c>
      <c r="B96" s="426">
        <v>1</v>
      </c>
      <c r="C96" s="348" t="s">
        <v>68</v>
      </c>
      <c r="D96" s="414">
        <f>AVERAGE(D92:D95)</f>
        <v>86335630.333333328</v>
      </c>
      <c r="E96" s="330">
        <f>AVERAGE(E92:E95)</f>
        <v>113326932.50094949</v>
      </c>
      <c r="F96" s="353">
        <f>AVERAGE(F92:F95)</f>
        <v>89753648.333333328</v>
      </c>
      <c r="G96" s="377">
        <f>AVERAGE(G92:G95)</f>
        <v>112798351.55628173</v>
      </c>
    </row>
    <row r="97" spans="1:9" ht="26.25" customHeight="1" x14ac:dyDescent="0.4">
      <c r="A97" s="295" t="s">
        <v>69</v>
      </c>
      <c r="B97" s="423">
        <v>1</v>
      </c>
      <c r="C97" s="405" t="s">
        <v>70</v>
      </c>
      <c r="D97" s="430">
        <v>26.09</v>
      </c>
      <c r="E97" s="302"/>
      <c r="F97" s="431">
        <v>27.25</v>
      </c>
    </row>
    <row r="98" spans="1:9" ht="26.25" customHeight="1" x14ac:dyDescent="0.4">
      <c r="A98" s="295" t="s">
        <v>71</v>
      </c>
      <c r="B98" s="423">
        <v>1</v>
      </c>
      <c r="C98" s="406" t="s">
        <v>72</v>
      </c>
      <c r="D98" s="407">
        <f>D97*B88</f>
        <v>26.09</v>
      </c>
      <c r="E98" s="309"/>
      <c r="F98" s="308">
        <f>F97*B88</f>
        <v>27.25</v>
      </c>
    </row>
    <row r="99" spans="1:9" ht="19.5" customHeight="1" x14ac:dyDescent="0.3">
      <c r="A99" s="295" t="s">
        <v>73</v>
      </c>
      <c r="B99" s="403">
        <f>(B98/B97)*(B96/B95)*(B94/B93)*(B92/B91)*B90</f>
        <v>166.66666666666669</v>
      </c>
      <c r="C99" s="406" t="s">
        <v>74</v>
      </c>
      <c r="D99" s="408">
        <f>D98*$B$84/100</f>
        <v>22.854839999999999</v>
      </c>
      <c r="E99" s="311"/>
      <c r="F99" s="310">
        <f>F98*$B$84/100</f>
        <v>23.870999999999999</v>
      </c>
    </row>
    <row r="100" spans="1:9" ht="19.5" customHeight="1" x14ac:dyDescent="0.3">
      <c r="A100" s="484" t="s">
        <v>75</v>
      </c>
      <c r="B100" s="485"/>
      <c r="C100" s="406" t="s">
        <v>76</v>
      </c>
      <c r="D100" s="407">
        <f>D99/$B$99</f>
        <v>0.13712903999999998</v>
      </c>
      <c r="E100" s="311"/>
      <c r="F100" s="312">
        <f>F99/$B$99</f>
        <v>0.14322599999999996</v>
      </c>
      <c r="G100" s="389"/>
      <c r="H100" s="390"/>
    </row>
    <row r="101" spans="1:9" ht="19.5" customHeight="1" x14ac:dyDescent="0.3">
      <c r="A101" s="486"/>
      <c r="B101" s="487"/>
      <c r="C101" s="406" t="s">
        <v>77</v>
      </c>
      <c r="D101" s="415">
        <f>$B$56/$B$117</f>
        <v>0.18</v>
      </c>
      <c r="F101" s="314"/>
      <c r="G101" s="391"/>
      <c r="H101" s="390"/>
    </row>
    <row r="102" spans="1:9" ht="18.75" x14ac:dyDescent="0.3">
      <c r="C102" s="406" t="s">
        <v>78</v>
      </c>
      <c r="D102" s="407">
        <f>D101*$B$99</f>
        <v>30.000000000000004</v>
      </c>
      <c r="F102" s="314"/>
      <c r="G102" s="389"/>
      <c r="H102" s="390"/>
    </row>
    <row r="103" spans="1:9" ht="19.5" customHeight="1" x14ac:dyDescent="0.3">
      <c r="C103" s="409" t="s">
        <v>79</v>
      </c>
      <c r="D103" s="416">
        <f>D102/B34</f>
        <v>30.000000000000004</v>
      </c>
      <c r="F103" s="317"/>
      <c r="G103" s="389"/>
      <c r="H103" s="390"/>
      <c r="I103" s="331"/>
    </row>
    <row r="104" spans="1:9" ht="18.75" x14ac:dyDescent="0.3">
      <c r="C104" s="411" t="s">
        <v>109</v>
      </c>
      <c r="D104" s="412">
        <f>AVERAGE(E92:E95,G92:G95)</f>
        <v>113062642.02861559</v>
      </c>
      <c r="F104" s="317"/>
      <c r="G104" s="392"/>
      <c r="H104" s="390"/>
      <c r="I104" s="333"/>
    </row>
    <row r="105" spans="1:9" ht="18.75" x14ac:dyDescent="0.3">
      <c r="C105" s="313" t="s">
        <v>81</v>
      </c>
      <c r="D105" s="332">
        <f>STDEV(E92:E95,G92:G95)/D104</f>
        <v>3.948921241594427E-3</v>
      </c>
      <c r="F105" s="317"/>
      <c r="G105" s="389"/>
      <c r="H105" s="390"/>
      <c r="I105" s="333"/>
    </row>
    <row r="106" spans="1:9" ht="19.5" customHeight="1" x14ac:dyDescent="0.3">
      <c r="C106" s="315" t="s">
        <v>18</v>
      </c>
      <c r="D106" s="334">
        <f>COUNT(E92:E95,G92:G95)</f>
        <v>6</v>
      </c>
      <c r="F106" s="317"/>
      <c r="G106" s="389"/>
      <c r="H106" s="390"/>
      <c r="I106" s="333"/>
    </row>
    <row r="107" spans="1:9" ht="19.5" customHeight="1" x14ac:dyDescent="0.3">
      <c r="A107" s="275"/>
      <c r="B107" s="275"/>
      <c r="C107" s="275"/>
      <c r="D107" s="275"/>
      <c r="E107" s="275"/>
    </row>
    <row r="108" spans="1:9" ht="26.25" customHeight="1" x14ac:dyDescent="0.4">
      <c r="A108" s="294" t="s">
        <v>110</v>
      </c>
      <c r="B108" s="425">
        <v>1000</v>
      </c>
      <c r="C108" s="335" t="s">
        <v>111</v>
      </c>
      <c r="D108" s="336" t="s">
        <v>61</v>
      </c>
      <c r="E108" s="337" t="s">
        <v>112</v>
      </c>
      <c r="F108" s="338" t="s">
        <v>113</v>
      </c>
    </row>
    <row r="109" spans="1:9" ht="26.25" customHeight="1" x14ac:dyDescent="0.4">
      <c r="A109" s="295" t="s">
        <v>91</v>
      </c>
      <c r="B109" s="426">
        <v>3</v>
      </c>
      <c r="C109" s="301">
        <v>1</v>
      </c>
      <c r="D109" s="442">
        <v>64449023</v>
      </c>
      <c r="E109" s="339">
        <f t="shared" ref="E109:E114" si="1">IF(ISBLANK(D109),"-",D109/$D$104*$D$101*$B$117)</f>
        <v>171.00880143156817</v>
      </c>
      <c r="F109" s="340">
        <f>IF(ISBLANK(D109), "-", E109/$B$56)</f>
        <v>0.57002933810522727</v>
      </c>
    </row>
    <row r="110" spans="1:9" ht="26.25" customHeight="1" x14ac:dyDescent="0.4">
      <c r="A110" s="295" t="s">
        <v>93</v>
      </c>
      <c r="B110" s="426">
        <v>5</v>
      </c>
      <c r="C110" s="301">
        <v>2</v>
      </c>
      <c r="D110" s="442">
        <v>63079612</v>
      </c>
      <c r="E110" s="341">
        <f t="shared" si="1"/>
        <v>167.37521130286748</v>
      </c>
      <c r="F110" s="364">
        <f t="shared" ref="F110:F114" si="2">IF(ISBLANK(D110), "-", E110/$B$56)</f>
        <v>0.55791737100955829</v>
      </c>
    </row>
    <row r="111" spans="1:9" ht="26.25" customHeight="1" x14ac:dyDescent="0.4">
      <c r="A111" s="295" t="s">
        <v>94</v>
      </c>
      <c r="B111" s="426">
        <v>1</v>
      </c>
      <c r="C111" s="301">
        <v>3</v>
      </c>
      <c r="D111" s="442">
        <v>61526870</v>
      </c>
      <c r="E111" s="341">
        <f t="shared" si="1"/>
        <v>163.25517137064918</v>
      </c>
      <c r="F111" s="364">
        <f>IF(ISBLANK(D111), "-", E111/$B$56)</f>
        <v>0.54418390456883059</v>
      </c>
    </row>
    <row r="112" spans="1:9" ht="26.25" customHeight="1" x14ac:dyDescent="0.4">
      <c r="A112" s="295" t="s">
        <v>95</v>
      </c>
      <c r="B112" s="426">
        <v>1</v>
      </c>
      <c r="C112" s="301">
        <v>4</v>
      </c>
      <c r="D112" s="442">
        <v>60928916</v>
      </c>
      <c r="E112" s="341">
        <f t="shared" si="1"/>
        <v>161.66856241846673</v>
      </c>
      <c r="F112" s="364">
        <f t="shared" si="2"/>
        <v>0.53889520806155577</v>
      </c>
    </row>
    <row r="113" spans="1:9" ht="26.25" customHeight="1" x14ac:dyDescent="0.4">
      <c r="A113" s="295" t="s">
        <v>96</v>
      </c>
      <c r="B113" s="426">
        <v>1</v>
      </c>
      <c r="C113" s="301">
        <v>5</v>
      </c>
      <c r="D113" s="442">
        <v>64471133</v>
      </c>
      <c r="E113" s="341">
        <f t="shared" si="1"/>
        <v>171.06746802453816</v>
      </c>
      <c r="F113" s="364">
        <f>IF(ISBLANK(D113), ".-", E113/$B$56)</f>
        <v>0.57022489341512717</v>
      </c>
    </row>
    <row r="114" spans="1:9" ht="26.25" customHeight="1" x14ac:dyDescent="0.4">
      <c r="A114" s="295" t="s">
        <v>98</v>
      </c>
      <c r="B114" s="426">
        <v>1</v>
      </c>
      <c r="C114" s="304">
        <v>6</v>
      </c>
      <c r="D114" s="443">
        <v>62886799</v>
      </c>
      <c r="E114" s="342">
        <f t="shared" si="1"/>
        <v>166.86360199530006</v>
      </c>
      <c r="F114" s="365">
        <f>IF(ISBLANK(D114), "-", E114/$B$56)</f>
        <v>0.55621200665100023</v>
      </c>
    </row>
    <row r="115" spans="1:9" ht="26.25" customHeight="1" x14ac:dyDescent="0.4">
      <c r="A115" s="295" t="s">
        <v>99</v>
      </c>
      <c r="B115" s="426">
        <v>1</v>
      </c>
      <c r="C115" s="301"/>
      <c r="D115" s="327"/>
      <c r="E115" s="329"/>
      <c r="F115" s="343"/>
    </row>
    <row r="116" spans="1:9" ht="26.25" customHeight="1" x14ac:dyDescent="0.4">
      <c r="A116" s="295" t="s">
        <v>100</v>
      </c>
      <c r="B116" s="426">
        <v>1</v>
      </c>
      <c r="C116" s="301"/>
      <c r="D116" s="344"/>
      <c r="E116" s="345" t="s">
        <v>68</v>
      </c>
      <c r="F116" s="444">
        <f>AVERAGE(F109:F114)</f>
        <v>0.55624378696854992</v>
      </c>
    </row>
    <row r="117" spans="1:9" ht="27" customHeight="1" x14ac:dyDescent="0.4">
      <c r="A117" s="295" t="s">
        <v>101</v>
      </c>
      <c r="B117" s="394">
        <f>(B116/B115)*(B114/B113)*(B112/B111)*(B110/B109)*B108</f>
        <v>1666.6666666666667</v>
      </c>
      <c r="C117" s="346"/>
      <c r="D117" s="347"/>
      <c r="E117" s="348" t="s">
        <v>81</v>
      </c>
      <c r="F117" s="445">
        <f>STDEV(F109:F114)/F116</f>
        <v>2.3228569910712666E-2</v>
      </c>
    </row>
    <row r="118" spans="1:9" ht="27" customHeight="1" x14ac:dyDescent="0.4">
      <c r="A118" s="484" t="s">
        <v>75</v>
      </c>
      <c r="B118" s="488"/>
      <c r="C118" s="349"/>
      <c r="D118" s="350"/>
      <c r="E118" s="351" t="s">
        <v>18</v>
      </c>
      <c r="F118" s="446">
        <f>COUNT(F109:F114)</f>
        <v>6</v>
      </c>
      <c r="I118" s="333"/>
    </row>
    <row r="119" spans="1:9" ht="19.5" customHeight="1" x14ac:dyDescent="0.3">
      <c r="A119" s="486"/>
      <c r="B119" s="489"/>
      <c r="C119" s="329"/>
      <c r="D119" s="329"/>
      <c r="E119" s="329"/>
      <c r="F119" s="327"/>
      <c r="G119" s="329"/>
      <c r="H119" s="329"/>
    </row>
    <row r="120" spans="1:9" ht="18.75" x14ac:dyDescent="0.3">
      <c r="A120" s="292"/>
      <c r="B120" s="292"/>
      <c r="C120" s="329"/>
      <c r="D120" s="329"/>
      <c r="E120" s="329"/>
      <c r="F120" s="327"/>
      <c r="G120" s="329"/>
      <c r="H120" s="329"/>
    </row>
    <row r="121" spans="1:9" ht="26.25" customHeight="1" x14ac:dyDescent="0.4">
      <c r="A121" s="282" t="s">
        <v>104</v>
      </c>
      <c r="B121" s="419" t="s">
        <v>105</v>
      </c>
      <c r="C121" s="497" t="str">
        <f>B20</f>
        <v xml:space="preserve">ATAZANAVIR SULFATE </v>
      </c>
      <c r="D121" s="497"/>
      <c r="E121" s="420" t="s">
        <v>114</v>
      </c>
      <c r="F121" s="420"/>
      <c r="G121" s="447">
        <f>F116</f>
        <v>0.55624378696854992</v>
      </c>
      <c r="H121" s="329"/>
    </row>
    <row r="122" spans="1:9" ht="18.75" x14ac:dyDescent="0.3">
      <c r="A122" s="292"/>
      <c r="B122" s="292"/>
      <c r="C122" s="329"/>
      <c r="D122" s="329"/>
      <c r="E122" s="329"/>
      <c r="F122" s="327"/>
      <c r="G122" s="329"/>
      <c r="H122" s="329"/>
    </row>
    <row r="123" spans="1:9" ht="26.25" customHeight="1" x14ac:dyDescent="0.4">
      <c r="A123" s="281" t="s">
        <v>107</v>
      </c>
      <c r="B123" s="281" t="s">
        <v>108</v>
      </c>
      <c r="D123" s="439">
        <v>90</v>
      </c>
    </row>
    <row r="124" spans="1:9" ht="19.5" customHeight="1" x14ac:dyDescent="0.3">
      <c r="A124" s="275"/>
      <c r="B124" s="275"/>
      <c r="C124" s="275"/>
      <c r="D124" s="275"/>
      <c r="E124" s="275"/>
    </row>
    <row r="125" spans="1:9" ht="26.25" customHeight="1" x14ac:dyDescent="0.4">
      <c r="A125" s="294" t="s">
        <v>110</v>
      </c>
      <c r="B125" s="440">
        <v>1000</v>
      </c>
      <c r="C125" s="335" t="s">
        <v>111</v>
      </c>
      <c r="D125" s="336" t="s">
        <v>61</v>
      </c>
      <c r="E125" s="337" t="s">
        <v>112</v>
      </c>
      <c r="F125" s="338" t="s">
        <v>113</v>
      </c>
    </row>
    <row r="126" spans="1:9" ht="26.25" customHeight="1" x14ac:dyDescent="0.4">
      <c r="A126" s="295" t="s">
        <v>91</v>
      </c>
      <c r="B126" s="441">
        <v>3</v>
      </c>
      <c r="C126" s="301">
        <v>1</v>
      </c>
      <c r="D126" s="442">
        <v>99962629</v>
      </c>
      <c r="E126" s="399">
        <f t="shared" ref="E126:E131" si="3">IF(ISBLANK(D126),"-",D126/$D$104*$D$101*$B$134)</f>
        <v>265.24047343958222</v>
      </c>
      <c r="F126" s="396">
        <f>IF(ISBLANK(D126), "-", E126/$B$56)</f>
        <v>0.88413491146527401</v>
      </c>
    </row>
    <row r="127" spans="1:9" ht="26.25" customHeight="1" x14ac:dyDescent="0.4">
      <c r="A127" s="295" t="s">
        <v>93</v>
      </c>
      <c r="B127" s="441">
        <v>5</v>
      </c>
      <c r="C127" s="301">
        <v>2</v>
      </c>
      <c r="D127" s="442">
        <v>103841949</v>
      </c>
      <c r="E127" s="400">
        <f t="shared" si="3"/>
        <v>275.53384691041839</v>
      </c>
      <c r="F127" s="397">
        <f t="shared" ref="F126:F131" si="4">IF(ISBLANK(D127), "-", E127/$B$56)</f>
        <v>0.91844615636806126</v>
      </c>
    </row>
    <row r="128" spans="1:9" ht="26.25" customHeight="1" x14ac:dyDescent="0.4">
      <c r="A128" s="295" t="s">
        <v>94</v>
      </c>
      <c r="B128" s="441">
        <v>1</v>
      </c>
      <c r="C128" s="301">
        <v>3</v>
      </c>
      <c r="D128" s="442">
        <v>106224246</v>
      </c>
      <c r="E128" s="400">
        <f t="shared" si="3"/>
        <v>281.85502503943388</v>
      </c>
      <c r="F128" s="397">
        <f>IF(ISBLANK(D128), "-", E128/$B$56)</f>
        <v>0.93951675013144631</v>
      </c>
    </row>
    <row r="129" spans="1:9" ht="26.25" customHeight="1" x14ac:dyDescent="0.4">
      <c r="A129" s="295" t="s">
        <v>95</v>
      </c>
      <c r="B129" s="441">
        <v>1</v>
      </c>
      <c r="C129" s="301">
        <v>4</v>
      </c>
      <c r="D129" s="442">
        <v>103287496</v>
      </c>
      <c r="E129" s="400">
        <f t="shared" si="3"/>
        <v>274.06266335221085</v>
      </c>
      <c r="F129" s="397">
        <f t="shared" si="4"/>
        <v>0.91354221117403611</v>
      </c>
    </row>
    <row r="130" spans="1:9" ht="26.25" customHeight="1" x14ac:dyDescent="0.4">
      <c r="A130" s="295" t="s">
        <v>96</v>
      </c>
      <c r="B130" s="441">
        <v>1</v>
      </c>
      <c r="C130" s="301">
        <v>5</v>
      </c>
      <c r="D130" s="442">
        <v>103147043</v>
      </c>
      <c r="E130" s="400">
        <f t="shared" si="3"/>
        <v>273.68998587675139</v>
      </c>
      <c r="F130" s="397">
        <f>IF(ISBLANK(D130), "-", E130/$B$56)</f>
        <v>0.91229995292250465</v>
      </c>
    </row>
    <row r="131" spans="1:9" ht="26.25" customHeight="1" x14ac:dyDescent="0.4">
      <c r="A131" s="295" t="s">
        <v>98</v>
      </c>
      <c r="B131" s="441">
        <v>1</v>
      </c>
      <c r="C131" s="304">
        <v>6</v>
      </c>
      <c r="D131" s="443">
        <v>103130177</v>
      </c>
      <c r="E131" s="401">
        <f t="shared" si="3"/>
        <v>273.64523369416293</v>
      </c>
      <c r="F131" s="398">
        <f t="shared" si="4"/>
        <v>0.91215077898054309</v>
      </c>
    </row>
    <row r="132" spans="1:9" ht="26.25" customHeight="1" x14ac:dyDescent="0.4">
      <c r="A132" s="295" t="s">
        <v>99</v>
      </c>
      <c r="B132" s="441">
        <v>1</v>
      </c>
      <c r="C132" s="301"/>
      <c r="D132" s="327"/>
      <c r="E132" s="329"/>
      <c r="F132" s="343"/>
    </row>
    <row r="133" spans="1:9" ht="26.25" customHeight="1" x14ac:dyDescent="0.4">
      <c r="A133" s="295" t="s">
        <v>100</v>
      </c>
      <c r="B133" s="441">
        <v>1</v>
      </c>
      <c r="C133" s="301"/>
      <c r="D133" s="344"/>
      <c r="E133" s="345" t="s">
        <v>68</v>
      </c>
      <c r="F133" s="444">
        <f>AVERAGE(F126:F131)</f>
        <v>0.91334846017364413</v>
      </c>
    </row>
    <row r="134" spans="1:9" ht="27" customHeight="1" x14ac:dyDescent="0.4">
      <c r="A134" s="295" t="s">
        <v>101</v>
      </c>
      <c r="B134" s="448">
        <f>(B133/B132)*(B131/B130)*(B129/B128)*(B127/B126)*B125</f>
        <v>1666.6666666666667</v>
      </c>
      <c r="C134" s="346"/>
      <c r="D134" s="347"/>
      <c r="E134" s="348" t="s">
        <v>81</v>
      </c>
      <c r="F134" s="445">
        <f>STDEV(F126:F131)/F133</f>
        <v>1.9381212251893255E-2</v>
      </c>
    </row>
    <row r="135" spans="1:9" ht="27" customHeight="1" x14ac:dyDescent="0.4">
      <c r="A135" s="484" t="s">
        <v>75</v>
      </c>
      <c r="B135" s="488"/>
      <c r="C135" s="349"/>
      <c r="D135" s="350"/>
      <c r="E135" s="351" t="s">
        <v>18</v>
      </c>
      <c r="F135" s="446">
        <f>COUNT(F126:F131)</f>
        <v>6</v>
      </c>
      <c r="I135" s="333"/>
    </row>
    <row r="136" spans="1:9" ht="19.5" customHeight="1" x14ac:dyDescent="0.3">
      <c r="A136" s="486"/>
      <c r="B136" s="489"/>
      <c r="C136" s="329"/>
      <c r="D136" s="329"/>
      <c r="E136" s="329"/>
      <c r="F136" s="327"/>
      <c r="G136" s="329"/>
      <c r="H136" s="329"/>
    </row>
    <row r="137" spans="1:9" ht="18.75" x14ac:dyDescent="0.3">
      <c r="A137" s="292"/>
      <c r="B137" s="292"/>
      <c r="C137" s="329"/>
      <c r="D137" s="329"/>
      <c r="E137" s="329"/>
      <c r="F137" s="327"/>
      <c r="G137" s="329"/>
      <c r="H137" s="329"/>
    </row>
    <row r="138" spans="1:9" ht="26.25" customHeight="1" x14ac:dyDescent="0.4">
      <c r="A138" s="282" t="s">
        <v>104</v>
      </c>
      <c r="B138" s="419" t="s">
        <v>105</v>
      </c>
      <c r="C138" s="497" t="str">
        <f>B20</f>
        <v xml:space="preserve">ATAZANAVIR SULFATE </v>
      </c>
      <c r="D138" s="497"/>
      <c r="E138" s="420" t="s">
        <v>114</v>
      </c>
      <c r="F138" s="420"/>
      <c r="G138" s="447">
        <f>F133</f>
        <v>0.91334846017364413</v>
      </c>
      <c r="H138" s="329"/>
    </row>
    <row r="139" spans="1:9" ht="19.5" customHeight="1" x14ac:dyDescent="0.3">
      <c r="A139" s="366"/>
      <c r="B139" s="366"/>
      <c r="C139" s="367"/>
      <c r="D139" s="367"/>
      <c r="E139" s="367"/>
      <c r="F139" s="367"/>
      <c r="G139" s="367"/>
      <c r="H139" s="367"/>
    </row>
    <row r="140" spans="1:9" ht="18.75" x14ac:dyDescent="0.3">
      <c r="B140" s="498" t="s">
        <v>24</v>
      </c>
      <c r="C140" s="498"/>
      <c r="E140" s="354" t="s">
        <v>25</v>
      </c>
      <c r="F140" s="381"/>
      <c r="G140" s="498" t="s">
        <v>26</v>
      </c>
      <c r="H140" s="498"/>
    </row>
    <row r="141" spans="1:9" ht="83.1" customHeight="1" x14ac:dyDescent="0.3">
      <c r="A141" s="382" t="s">
        <v>27</v>
      </c>
      <c r="B141" s="455" t="s">
        <v>122</v>
      </c>
      <c r="C141" s="417"/>
      <c r="E141" s="456">
        <v>42284</v>
      </c>
      <c r="F141" s="329"/>
      <c r="G141" s="379"/>
      <c r="H141" s="379"/>
    </row>
    <row r="142" spans="1:9" ht="83.1" customHeight="1" x14ac:dyDescent="0.3">
      <c r="A142" s="382" t="s">
        <v>28</v>
      </c>
      <c r="B142" s="418"/>
      <c r="C142" s="418"/>
      <c r="E142" s="378"/>
      <c r="F142" s="329"/>
      <c r="G142" s="380"/>
      <c r="H142" s="380"/>
    </row>
    <row r="143" spans="1:9" ht="18.75" x14ac:dyDescent="0.3">
      <c r="A143" s="326"/>
      <c r="B143" s="326"/>
      <c r="C143" s="327"/>
      <c r="D143" s="327"/>
      <c r="E143" s="327"/>
      <c r="F143" s="328"/>
      <c r="G143" s="327"/>
      <c r="H143" s="327"/>
    </row>
    <row r="144" spans="1:9" ht="18.75" x14ac:dyDescent="0.3">
      <c r="A144" s="326"/>
      <c r="B144" s="326"/>
      <c r="C144" s="327"/>
      <c r="D144" s="327"/>
      <c r="E144" s="327"/>
      <c r="F144" s="328"/>
      <c r="G144" s="327"/>
      <c r="H144" s="327"/>
    </row>
    <row r="145" spans="1:8" ht="18.75" x14ac:dyDescent="0.3">
      <c r="A145" s="326"/>
      <c r="B145" s="326"/>
      <c r="C145" s="327"/>
      <c r="D145" s="327"/>
      <c r="E145" s="327"/>
      <c r="F145" s="328"/>
      <c r="G145" s="327"/>
      <c r="H145" s="327"/>
    </row>
    <row r="146" spans="1:8" ht="18.75" x14ac:dyDescent="0.3">
      <c r="A146" s="326"/>
      <c r="B146" s="326"/>
      <c r="C146" s="327"/>
      <c r="D146" s="327"/>
      <c r="E146" s="327"/>
      <c r="F146" s="328"/>
      <c r="G146" s="327"/>
      <c r="H146" s="327"/>
    </row>
    <row r="147" spans="1:8" ht="18.75" x14ac:dyDescent="0.3">
      <c r="A147" s="326"/>
      <c r="B147" s="326"/>
      <c r="C147" s="327"/>
      <c r="D147" s="327"/>
      <c r="E147" s="327"/>
      <c r="F147" s="328"/>
      <c r="G147" s="327"/>
      <c r="H147" s="327"/>
    </row>
    <row r="148" spans="1:8" ht="18.75" x14ac:dyDescent="0.3">
      <c r="A148" s="326"/>
      <c r="B148" s="326"/>
      <c r="C148" s="327"/>
      <c r="D148" s="327"/>
      <c r="E148" s="327"/>
      <c r="F148" s="328"/>
      <c r="G148" s="327"/>
      <c r="H148" s="327"/>
    </row>
    <row r="149" spans="1:8" ht="18.75" x14ac:dyDescent="0.3">
      <c r="A149" s="326"/>
      <c r="B149" s="326"/>
      <c r="C149" s="327"/>
      <c r="D149" s="327"/>
      <c r="E149" s="327"/>
      <c r="F149" s="328"/>
      <c r="G149" s="327"/>
      <c r="H149" s="327"/>
    </row>
    <row r="150" spans="1:8" ht="18.75" x14ac:dyDescent="0.3">
      <c r="A150" s="326"/>
      <c r="B150" s="326"/>
      <c r="C150" s="327"/>
      <c r="D150" s="327"/>
      <c r="E150" s="327"/>
      <c r="F150" s="328"/>
      <c r="G150" s="327"/>
      <c r="H150" s="327"/>
    </row>
    <row r="151" spans="1:8" ht="18.75" x14ac:dyDescent="0.3">
      <c r="A151" s="326"/>
      <c r="B151" s="326"/>
      <c r="C151" s="327"/>
      <c r="D151" s="327"/>
      <c r="E151" s="327"/>
      <c r="F151" s="328"/>
      <c r="G151" s="327"/>
      <c r="H151" s="327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  <mergeCell ref="F90:G90"/>
    <mergeCell ref="A100:B101"/>
    <mergeCell ref="A118:B119"/>
    <mergeCell ref="A46:B47"/>
    <mergeCell ref="C83:G83"/>
    <mergeCell ref="A70:B71"/>
    <mergeCell ref="C76:D76"/>
    <mergeCell ref="A1:H7"/>
    <mergeCell ref="A8:H14"/>
    <mergeCell ref="A16:H16"/>
    <mergeCell ref="C85:H85"/>
    <mergeCell ref="C86:H86"/>
    <mergeCell ref="B80:C80"/>
    <mergeCell ref="B26:C26"/>
    <mergeCell ref="B18:C18"/>
  </mergeCells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Footer>&amp;LNQCL/ADDO/014&amp;C&amp;P of &amp;N&amp;R&amp;D &amp;T</oddFooter>
  </headerFooter>
  <rowBreaks count="1" manualBreakCount="1">
    <brk id="1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Uniformity</vt:lpstr>
      <vt:lpstr>Ritonavir</vt:lpstr>
      <vt:lpstr>SST (2)</vt:lpstr>
      <vt:lpstr>Atazanavir</vt:lpstr>
      <vt:lpstr>Atazanavir!Print_Area</vt:lpstr>
      <vt:lpstr>Ritonavir!Print_Area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2015-07-10T12:44:38Z</cp:lastPrinted>
  <dcterms:created xsi:type="dcterms:W3CDTF">2005-07-05T10:19:27Z</dcterms:created>
  <dcterms:modified xsi:type="dcterms:W3CDTF">2015-07-13T09:07:07Z</dcterms:modified>
</cp:coreProperties>
</file>