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USER" reservationPassword="AD9C"/>
  <workbookPr defaultThemeVersion="124226"/>
  <bookViews>
    <workbookView xWindow="-6375" yWindow="480" windowWidth="14940" windowHeight="8640" activeTab="2"/>
  </bookViews>
  <sheets>
    <sheet name="Uniformity" sheetId="35" r:id="rId1"/>
    <sheet name="SST (2)" sheetId="36" r:id="rId2"/>
    <sheet name="Component 1" sheetId="33" r:id="rId3"/>
  </sheets>
  <definedNames>
    <definedName name="_xlnm.Print_Area" localSheetId="2">'Component 1'!$A$1:$H$142</definedName>
    <definedName name="_xlnm.Print_Area" localSheetId="1">'SST (2)'!$A$1:$F$68</definedName>
    <definedName name="_xlnm.Print_Area" localSheetId="0">Uniformity!$A$1:$H$54</definedName>
  </definedNames>
  <calcPr calcId="145621"/>
</workbook>
</file>

<file path=xl/calcChain.xml><?xml version="1.0" encoding="utf-8"?>
<calcChain xmlns="http://schemas.openxmlformats.org/spreadsheetml/2006/main">
  <c r="B88" i="33" l="1"/>
  <c r="F98" i="33" s="1"/>
  <c r="B48" i="36"/>
  <c r="B27" i="36"/>
  <c r="B25" i="36"/>
  <c r="B18" i="36"/>
  <c r="B19" i="36"/>
  <c r="B20" i="36"/>
  <c r="B21" i="36"/>
  <c r="B22" i="36"/>
  <c r="B17" i="36"/>
  <c r="C18" i="35"/>
  <c r="C19" i="35"/>
  <c r="C15" i="35"/>
  <c r="C16" i="35"/>
  <c r="C17" i="35"/>
  <c r="C14" i="35"/>
  <c r="B60" i="36"/>
  <c r="E58" i="36"/>
  <c r="D58" i="36"/>
  <c r="C58" i="36"/>
  <c r="B58" i="36"/>
  <c r="B59" i="36" s="1"/>
  <c r="B39" i="36"/>
  <c r="E37" i="36"/>
  <c r="D37" i="36"/>
  <c r="C37" i="36"/>
  <c r="B37" i="36"/>
  <c r="B38" i="36" s="1"/>
  <c r="D49" i="35"/>
  <c r="C49" i="35"/>
  <c r="C46" i="35"/>
  <c r="C50" i="35" s="1"/>
  <c r="C45" i="35"/>
  <c r="D43" i="35"/>
  <c r="D41" i="35"/>
  <c r="D40" i="35"/>
  <c r="D39" i="35"/>
  <c r="D37" i="35"/>
  <c r="D36" i="35"/>
  <c r="D35" i="35"/>
  <c r="D33" i="35"/>
  <c r="D32" i="35"/>
  <c r="D31" i="35"/>
  <c r="D29" i="35"/>
  <c r="D28" i="35"/>
  <c r="D27" i="35"/>
  <c r="D25" i="35"/>
  <c r="D24" i="35"/>
  <c r="D98" i="33" l="1"/>
  <c r="D50" i="35"/>
  <c r="D26" i="35"/>
  <c r="D30" i="35"/>
  <c r="D34" i="35"/>
  <c r="D38" i="35"/>
  <c r="D42" i="35"/>
  <c r="B49" i="35"/>
  <c r="B57" i="33"/>
  <c r="C76" i="33"/>
  <c r="G95" i="33" l="1"/>
  <c r="C138" i="33" l="1"/>
  <c r="C121" i="33"/>
  <c r="H63" i="33" l="1"/>
  <c r="H67" i="33"/>
  <c r="H71" i="33"/>
  <c r="B81" i="33" l="1"/>
  <c r="B82" i="33"/>
  <c r="B83" i="33"/>
  <c r="B80" i="33"/>
  <c r="B46" i="36" s="1"/>
  <c r="B84" i="33" l="1"/>
  <c r="B47" i="36" s="1"/>
  <c r="B134" i="33"/>
  <c r="B55" i="33"/>
  <c r="G71" i="33" l="1"/>
  <c r="G67" i="33"/>
  <c r="G63" i="33" l="1"/>
  <c r="C56" i="33" l="1"/>
  <c r="G41" i="33" l="1"/>
  <c r="E41" i="33"/>
  <c r="E95" i="33"/>
  <c r="B117" i="33"/>
  <c r="D101" i="33" s="1"/>
  <c r="F96" i="33" l="1"/>
  <c r="B99" i="33"/>
  <c r="B49" i="36" s="1"/>
  <c r="D96" i="33"/>
  <c r="B68" i="33"/>
  <c r="F42" i="33"/>
  <c r="D42" i="33"/>
  <c r="B45" i="33"/>
  <c r="B28" i="36" s="1"/>
  <c r="B34" i="33"/>
  <c r="B30" i="33"/>
  <c r="B26" i="36" s="1"/>
  <c r="F99" i="33" l="1"/>
  <c r="F100" i="33" s="1"/>
  <c r="D48" i="33"/>
  <c r="D49" i="33" s="1"/>
  <c r="D102" i="33"/>
  <c r="F44" i="33"/>
  <c r="F45" i="33" s="1"/>
  <c r="B69" i="33"/>
  <c r="D44" i="33"/>
  <c r="D45" i="33" s="1"/>
  <c r="D103" i="33" l="1"/>
  <c r="D99" i="33"/>
  <c r="D100" i="33" s="1"/>
  <c r="G94" i="33"/>
  <c r="G92" i="33"/>
  <c r="G93" i="33"/>
  <c r="F46" i="33"/>
  <c r="G39" i="33"/>
  <c r="G40" i="33"/>
  <c r="G38" i="33"/>
  <c r="D46" i="33"/>
  <c r="E39" i="33"/>
  <c r="E40" i="33"/>
  <c r="D50" i="33" s="1"/>
  <c r="G69" i="33" s="1"/>
  <c r="H69" i="33" s="1"/>
  <c r="E38" i="33"/>
  <c r="E93" i="33"/>
  <c r="E94" i="33"/>
  <c r="E92" i="33"/>
  <c r="G65" i="33" l="1"/>
  <c r="H65" i="33" s="1"/>
  <c r="G68" i="33"/>
  <c r="H68" i="33" s="1"/>
  <c r="G62" i="33"/>
  <c r="H62" i="33" s="1"/>
  <c r="G66" i="33"/>
  <c r="H66" i="33" s="1"/>
  <c r="G61" i="33"/>
  <c r="H61" i="33" s="1"/>
  <c r="G70" i="33"/>
  <c r="H70" i="33" s="1"/>
  <c r="G60" i="33"/>
  <c r="H60" i="33" s="1"/>
  <c r="G64" i="33"/>
  <c r="H64" i="33" s="1"/>
  <c r="G96" i="33"/>
  <c r="E96" i="33"/>
  <c r="D106" i="33"/>
  <c r="D104" i="33"/>
  <c r="E109" i="33" s="1"/>
  <c r="F109" i="33" s="1"/>
  <c r="G42" i="33"/>
  <c r="D52" i="33"/>
  <c r="E42" i="33"/>
  <c r="D51" i="33"/>
  <c r="E130" i="33" l="1"/>
  <c r="F130" i="33" s="1"/>
  <c r="E127" i="33"/>
  <c r="F127" i="33" s="1"/>
  <c r="E131" i="33"/>
  <c r="F131" i="33" s="1"/>
  <c r="E128" i="33"/>
  <c r="F128" i="33" s="1"/>
  <c r="E126" i="33"/>
  <c r="F126" i="33" s="1"/>
  <c r="E129" i="33"/>
  <c r="F129" i="33" s="1"/>
  <c r="H72" i="33"/>
  <c r="G76" i="33" s="1"/>
  <c r="E111" i="33"/>
  <c r="F111" i="33" s="1"/>
  <c r="E112" i="33"/>
  <c r="F112" i="33" s="1"/>
  <c r="E114" i="33"/>
  <c r="F114" i="33" s="1"/>
  <c r="E113" i="33"/>
  <c r="F113" i="33" s="1"/>
  <c r="E110" i="33"/>
  <c r="F110" i="33" s="1"/>
  <c r="D105" i="33"/>
  <c r="F135" i="33" l="1"/>
  <c r="F133" i="33"/>
  <c r="F118" i="33"/>
  <c r="F116" i="33"/>
  <c r="H74" i="33"/>
  <c r="H73" i="33"/>
  <c r="F117" i="33" l="1"/>
  <c r="G121" i="33"/>
  <c r="F134" i="33"/>
  <c r="G138" i="33"/>
</calcChain>
</file>

<file path=xl/sharedStrings.xml><?xml version="1.0" encoding="utf-8"?>
<sst xmlns="http://schemas.openxmlformats.org/spreadsheetml/2006/main" count="247" uniqueCount="113">
  <si>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</si>
  <si>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</si>
  <si>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</si>
  <si>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</si>
  <si>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</si>
  <si>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</si>
  <si>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</si>
  <si>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</si>
  <si>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</si>
  <si>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</si>
  <si>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</si>
  <si>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</si>
  <si>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</si>
  <si>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Average tablet Content Weight (mg):</t>
  </si>
  <si>
    <t>tablet No.</t>
  </si>
  <si>
    <t>Standard A</t>
  </si>
  <si>
    <t>Standard B</t>
  </si>
  <si>
    <t>Date Analysis Started:</t>
  </si>
  <si>
    <t>F0J018</t>
  </si>
  <si>
    <t>Inj</t>
  </si>
  <si>
    <t>Amt of RS (mg):</t>
  </si>
  <si>
    <t>Injection</t>
  </si>
  <si>
    <t>Assay Smp A</t>
  </si>
  <si>
    <t>Assay Smp B</t>
  </si>
  <si>
    <t>Assay Smp C</t>
  </si>
  <si>
    <t>Average Normalised Peak Area:</t>
  </si>
  <si>
    <t>Sample Dilution Factor</t>
  </si>
  <si>
    <t>Code:</t>
  </si>
  <si>
    <t xml:space="preserve">% Purity corrected for water: </t>
  </si>
  <si>
    <t>% Water content:</t>
  </si>
  <si>
    <t>Initial    Sample dilution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</si>
  <si>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</si>
  <si>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</si>
  <si>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</si>
  <si>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</si>
  <si>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</si>
  <si>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</si>
  <si>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</si>
  <si>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</si>
  <si>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>Standard Dilution Factor</t>
  </si>
  <si>
    <t>Initial    Standard dilution</t>
  </si>
  <si>
    <t>Each tablet contains</t>
  </si>
  <si>
    <t>USP Amoxicillin RS</t>
  </si>
  <si>
    <t>Powder Weight (mg)</t>
  </si>
  <si>
    <t>% Assay</t>
  </si>
  <si>
    <t>Medium Volume (mL):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</si>
  <si>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</si>
  <si>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</si>
  <si>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</si>
  <si>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</si>
  <si>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</si>
  <si>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</si>
  <si>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</si>
  <si>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</si>
  <si>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</si>
  <si>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</si>
  <si>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</si>
  <si>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</si>
  <si>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</si>
  <si>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</si>
  <si>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</si>
  <si>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</si>
  <si>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</si>
  <si>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</si>
  <si>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</si>
  <si>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</si>
  <si>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</si>
  <si>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</si>
  <si>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</si>
  <si>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</si>
  <si>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Desired Concetration (mg/mL):</t>
  </si>
  <si>
    <t>Amt Released (mg):</t>
  </si>
  <si>
    <t>%age Released: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</si>
  <si>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</si>
  <si>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</si>
  <si>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</si>
  <si>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</si>
  <si>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</si>
  <si>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</si>
  <si>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</si>
  <si>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</si>
  <si>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</si>
  <si>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</si>
  <si>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</si>
  <si>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</si>
  <si>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</si>
  <si>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</si>
  <si>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</si>
  <si>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Dissolution</t>
  </si>
  <si>
    <t>Desired Weight as free base (mg):</t>
  </si>
  <si>
    <t>Desired Weight as salt (mg):</t>
  </si>
  <si>
    <t>Determined Amt (mg)</t>
  </si>
  <si>
    <t>Desired Sample Weight (mg):</t>
  </si>
  <si>
    <t>Analysis Data:</t>
  </si>
  <si>
    <t>Comment</t>
  </si>
  <si>
    <t xml:space="preserve">The amount  of </t>
  </si>
  <si>
    <t xml:space="preserve">dissolved as a percentage of the stated  label claim is </t>
  </si>
  <si>
    <t>Determination of Active Ingredient Dissolved after</t>
  </si>
  <si>
    <t>3hrs</t>
  </si>
  <si>
    <t>1hr</t>
  </si>
  <si>
    <t xml:space="preserve">in the sample as a percentage of the stated  label claim is </t>
  </si>
  <si>
    <t>Please enter the required information in the cells highlighted in green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</si>
  <si>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</si>
  <si>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</si>
  <si>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</si>
  <si>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</si>
  <si>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</si>
  <si>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</si>
  <si>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</si>
  <si>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</si>
  <si>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</si>
  <si>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Concentration (mg/mL):</t>
  </si>
  <si>
    <t>Purity correction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</si>
</sst>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%"/>
    <numFmt numFmtId="170" formatCode="[$-409]d/mmm/yy;@"/>
  </numFmts>
  <fonts count="4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2"/>
      <name val="Book Antiqua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i/>
      <sz val="10"/>
      <name val="Book Antiqua"/>
      <family val="1"/>
    </font>
    <font>
      <sz val="12"/>
      <name val="Arial"/>
      <family val="2"/>
    </font>
    <font>
      <b/>
      <i/>
      <sz val="12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2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10">
    <xf numFmtId="0" fontId="0" fillId="0" borderId="0" xfId="0"/>
    <xf numFmtId="0" fontId="1" fillId="0" borderId="0" xfId="42"/>
    <xf numFmtId="0" fontId="3" fillId="0" borderId="0" xfId="42" applyFont="1" applyAlignment="1">
      <alignment horizontal="center"/>
    </xf>
    <xf numFmtId="10" fontId="5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2" fontId="6" fillId="0" borderId="0" xfId="42" applyNumberFormat="1" applyFont="1" applyAlignment="1">
      <alignment horizontal="right"/>
    </xf>
    <xf numFmtId="167" fontId="2" fillId="0" borderId="0" xfId="42" applyNumberFormat="1" applyFont="1" applyAlignment="1"/>
    <xf numFmtId="2" fontId="6" fillId="0" borderId="0" xfId="42" applyNumberFormat="1" applyFont="1"/>
    <xf numFmtId="0" fontId="4" fillId="0" borderId="0" xfId="42" applyFont="1"/>
    <xf numFmtId="0" fontId="24" fillId="0" borderId="0" xfId="42" applyFont="1"/>
    <xf numFmtId="0" fontId="25" fillId="0" borderId="0" xfId="42" applyFont="1"/>
    <xf numFmtId="0" fontId="24" fillId="0" borderId="0" xfId="42" applyFont="1" applyAlignment="1">
      <alignment horizontal="left"/>
    </xf>
    <xf numFmtId="0" fontId="24" fillId="0" borderId="0" xfId="42" quotePrefix="1" applyFont="1" applyAlignment="1">
      <alignment horizontal="left"/>
    </xf>
    <xf numFmtId="165" fontId="24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5" fillId="0" borderId="0" xfId="42" applyFont="1" applyAlignment="1">
      <alignment horizontal="right"/>
    </xf>
    <xf numFmtId="0" fontId="25" fillId="0" borderId="0" xfId="42" applyFont="1" applyAlignment="1">
      <alignment horizontal="center"/>
    </xf>
    <xf numFmtId="0" fontId="24" fillId="0" borderId="0" xfId="42" applyFont="1" applyAlignment="1">
      <alignment horizontal="right"/>
    </xf>
    <xf numFmtId="0" fontId="24" fillId="0" borderId="0" xfId="42" applyFont="1" applyAlignment="1">
      <alignment horizontal="center"/>
    </xf>
    <xf numFmtId="0" fontId="27" fillId="0" borderId="0" xfId="0" applyFont="1"/>
    <xf numFmtId="0" fontId="28" fillId="0" borderId="0" xfId="0" applyFont="1" applyFill="1" applyBorder="1" applyAlignment="1">
      <alignment vertical="center" wrapText="1"/>
    </xf>
    <xf numFmtId="0" fontId="29" fillId="0" borderId="0" xfId="0" applyFont="1" applyFill="1"/>
    <xf numFmtId="0" fontId="30" fillId="0" borderId="0" xfId="42" applyFont="1" applyFill="1"/>
    <xf numFmtId="2" fontId="25" fillId="0" borderId="0" xfId="42" applyNumberFormat="1" applyFont="1" applyAlignment="1">
      <alignment horizontal="center"/>
    </xf>
    <xf numFmtId="0" fontId="25" fillId="0" borderId="0" xfId="42" applyFont="1" applyFill="1" applyBorder="1" applyAlignment="1">
      <alignment vertical="center" wrapText="1"/>
    </xf>
    <xf numFmtId="0" fontId="27" fillId="0" borderId="0" xfId="0" applyFont="1" applyFill="1" applyBorder="1"/>
    <xf numFmtId="0" fontId="26" fillId="0" borderId="0" xfId="42" applyFont="1" applyFill="1" applyBorder="1" applyAlignment="1">
      <alignment horizontal="left" vertical="center" wrapText="1"/>
    </xf>
    <xf numFmtId="168" fontId="25" fillId="0" borderId="0" xfId="42" applyNumberFormat="1" applyFont="1" applyAlignment="1">
      <alignment horizontal="center"/>
    </xf>
    <xf numFmtId="0" fontId="24" fillId="0" borderId="18" xfId="42" applyFont="1" applyBorder="1" applyAlignment="1">
      <alignment horizontal="right"/>
    </xf>
    <xf numFmtId="0" fontId="24" fillId="0" borderId="20" xfId="42" applyFont="1" applyBorder="1" applyAlignment="1">
      <alignment horizontal="right"/>
    </xf>
    <xf numFmtId="0" fontId="24" fillId="0" borderId="21" xfId="42" applyFont="1" applyBorder="1" applyAlignment="1">
      <alignment horizontal="center"/>
    </xf>
    <xf numFmtId="0" fontId="25" fillId="0" borderId="19" xfId="42" applyFont="1" applyBorder="1" applyAlignment="1">
      <alignment horizontal="center"/>
    </xf>
    <xf numFmtId="0" fontId="25" fillId="0" borderId="31" xfId="42" applyFont="1" applyBorder="1" applyAlignment="1">
      <alignment horizontal="center"/>
    </xf>
    <xf numFmtId="0" fontId="25" fillId="0" borderId="32" xfId="42" applyFont="1" applyBorder="1" applyAlignment="1">
      <alignment horizontal="center"/>
    </xf>
    <xf numFmtId="0" fontId="24" fillId="0" borderId="45" xfId="42" applyFont="1" applyBorder="1" applyAlignment="1">
      <alignment horizontal="center"/>
    </xf>
    <xf numFmtId="0" fontId="24" fillId="0" borderId="20" xfId="42" applyFont="1" applyFill="1" applyBorder="1" applyAlignment="1">
      <alignment horizontal="center"/>
    </xf>
    <xf numFmtId="0" fontId="24" fillId="0" borderId="0" xfId="42" applyFont="1" applyFill="1" applyBorder="1"/>
    <xf numFmtId="0" fontId="24" fillId="0" borderId="46" xfId="42" applyFont="1" applyBorder="1" applyAlignment="1">
      <alignment horizontal="center"/>
    </xf>
    <xf numFmtId="0" fontId="24" fillId="0" borderId="35" xfId="42" applyFont="1" applyFill="1" applyBorder="1" applyAlignment="1">
      <alignment horizontal="center"/>
    </xf>
    <xf numFmtId="0" fontId="24" fillId="0" borderId="21" xfId="42" applyFont="1" applyBorder="1" applyAlignment="1">
      <alignment horizontal="right"/>
    </xf>
    <xf numFmtId="1" fontId="25" fillId="24" borderId="37" xfId="42" applyNumberFormat="1" applyFont="1" applyFill="1" applyBorder="1" applyAlignment="1">
      <alignment horizontal="center"/>
    </xf>
    <xf numFmtId="166" fontId="25" fillId="24" borderId="38" xfId="42" applyNumberFormat="1" applyFont="1" applyFill="1" applyBorder="1" applyAlignment="1">
      <alignment horizontal="center"/>
    </xf>
    <xf numFmtId="2" fontId="24" fillId="24" borderId="40" xfId="42" applyNumberFormat="1" applyFont="1" applyFill="1" applyBorder="1" applyAlignment="1">
      <alignment horizontal="center"/>
    </xf>
    <xf numFmtId="0" fontId="24" fillId="0" borderId="0" xfId="42" applyFont="1" applyFill="1" applyBorder="1" applyAlignment="1">
      <alignment horizontal="center"/>
    </xf>
    <xf numFmtId="2" fontId="24" fillId="25" borderId="40" xfId="42" applyNumberFormat="1" applyFont="1" applyFill="1" applyBorder="1" applyAlignment="1">
      <alignment horizontal="center"/>
    </xf>
    <xf numFmtId="2" fontId="24" fillId="0" borderId="0" xfId="42" applyNumberFormat="1" applyFont="1" applyFill="1" applyBorder="1" applyAlignment="1">
      <alignment horizontal="center"/>
    </xf>
    <xf numFmtId="2" fontId="24" fillId="24" borderId="41" xfId="42" applyNumberFormat="1" applyFont="1" applyFill="1" applyBorder="1" applyAlignment="1">
      <alignment horizontal="center"/>
    </xf>
    <xf numFmtId="0" fontId="24" fillId="0" borderId="40" xfId="42" applyFont="1" applyBorder="1" applyAlignment="1">
      <alignment horizontal="right"/>
    </xf>
    <xf numFmtId="1" fontId="24" fillId="0" borderId="0" xfId="42" applyNumberFormat="1" applyFont="1" applyFill="1" applyBorder="1" applyAlignment="1">
      <alignment horizontal="center"/>
    </xf>
    <xf numFmtId="0" fontId="24" fillId="0" borderId="41" xfId="42" applyFont="1" applyBorder="1" applyAlignment="1">
      <alignment horizontal="right"/>
    </xf>
    <xf numFmtId="0" fontId="24" fillId="0" borderId="44" xfId="42" applyFont="1" applyBorder="1" applyAlignment="1">
      <alignment horizontal="right"/>
    </xf>
    <xf numFmtId="166" fontId="24" fillId="0" borderId="0" xfId="42" applyNumberFormat="1" applyFont="1" applyFill="1" applyBorder="1" applyAlignment="1">
      <alignment horizontal="center"/>
    </xf>
    <xf numFmtId="10" fontId="24" fillId="24" borderId="40" xfId="42" applyNumberFormat="1" applyFont="1" applyFill="1" applyBorder="1" applyAlignment="1">
      <alignment horizontal="center"/>
    </xf>
    <xf numFmtId="0" fontId="24" fillId="25" borderId="41" xfId="42" applyFont="1" applyFill="1" applyBorder="1" applyAlignment="1">
      <alignment horizontal="center"/>
    </xf>
    <xf numFmtId="0" fontId="25" fillId="0" borderId="0" xfId="42" quotePrefix="1" applyFont="1" applyAlignment="1">
      <alignment horizontal="left"/>
    </xf>
    <xf numFmtId="0" fontId="25" fillId="0" borderId="42" xfId="42" applyFont="1" applyBorder="1" applyAlignment="1">
      <alignment horizontal="center"/>
    </xf>
    <xf numFmtId="2" fontId="25" fillId="0" borderId="42" xfId="42" applyNumberFormat="1" applyFont="1" applyBorder="1" applyAlignment="1">
      <alignment horizontal="center"/>
    </xf>
    <xf numFmtId="0" fontId="24" fillId="0" borderId="42" xfId="42" applyFont="1" applyBorder="1" applyAlignment="1">
      <alignment horizontal="center"/>
    </xf>
    <xf numFmtId="0" fontId="24" fillId="0" borderId="43" xfId="42" applyFont="1" applyBorder="1" applyAlignment="1">
      <alignment horizontal="center"/>
    </xf>
    <xf numFmtId="0" fontId="24" fillId="0" borderId="51" xfId="42" applyFont="1" applyBorder="1" applyAlignment="1">
      <alignment horizontal="center"/>
    </xf>
    <xf numFmtId="0" fontId="24" fillId="0" borderId="0" xfId="42" quotePrefix="1" applyFont="1" applyBorder="1" applyAlignment="1">
      <alignment horizontal="center"/>
    </xf>
    <xf numFmtId="0" fontId="24" fillId="0" borderId="0" xfId="42" applyFont="1" applyBorder="1" applyAlignment="1">
      <alignment horizontal="center"/>
    </xf>
    <xf numFmtId="2" fontId="24" fillId="0" borderId="0" xfId="42" applyNumberFormat="1" applyFont="1" applyBorder="1" applyAlignment="1">
      <alignment horizontal="center"/>
    </xf>
    <xf numFmtId="0" fontId="24" fillId="0" borderId="0" xfId="42" applyFont="1" applyBorder="1"/>
    <xf numFmtId="166" fontId="25" fillId="24" borderId="50" xfId="42" applyNumberFormat="1" applyFont="1" applyFill="1" applyBorder="1" applyAlignment="1">
      <alignment horizontal="center"/>
    </xf>
    <xf numFmtId="0" fontId="25" fillId="0" borderId="0" xfId="42" applyFont="1" applyFill="1" applyBorder="1" applyAlignment="1">
      <alignment horizontal="center" wrapText="1"/>
    </xf>
    <xf numFmtId="10" fontId="25" fillId="24" borderId="40" xfId="42" applyNumberFormat="1" applyFont="1" applyFill="1" applyBorder="1" applyAlignment="1">
      <alignment horizontal="center"/>
    </xf>
    <xf numFmtId="10" fontId="24" fillId="0" borderId="0" xfId="42" applyNumberFormat="1" applyFont="1" applyFill="1" applyBorder="1" applyAlignment="1">
      <alignment horizontal="center"/>
    </xf>
    <xf numFmtId="0" fontId="25" fillId="25" borderId="41" xfId="42" applyFont="1" applyFill="1" applyBorder="1" applyAlignment="1">
      <alignment horizontal="center"/>
    </xf>
    <xf numFmtId="0" fontId="25" fillId="0" borderId="29" xfId="42" applyFont="1" applyFill="1" applyBorder="1" applyAlignment="1">
      <alignment horizontal="center"/>
    </xf>
    <xf numFmtId="0" fontId="25" fillId="0" borderId="48" xfId="42" applyFont="1" applyFill="1" applyBorder="1" applyAlignment="1">
      <alignment horizontal="center"/>
    </xf>
    <xf numFmtId="0" fontId="25" fillId="0" borderId="49" xfId="42" applyFont="1" applyFill="1" applyBorder="1"/>
    <xf numFmtId="0" fontId="25" fillId="0" borderId="19" xfId="42" applyFont="1" applyFill="1" applyBorder="1" applyAlignment="1">
      <alignment horizontal="center" wrapText="1"/>
    </xf>
    <xf numFmtId="2" fontId="24" fillId="0" borderId="16" xfId="42" applyNumberFormat="1" applyFont="1" applyBorder="1" applyAlignment="1">
      <alignment horizontal="center"/>
    </xf>
    <xf numFmtId="10" fontId="24" fillId="0" borderId="32" xfId="42" applyNumberFormat="1" applyFont="1" applyBorder="1" applyAlignment="1" applyProtection="1">
      <alignment horizontal="center"/>
    </xf>
    <xf numFmtId="2" fontId="24" fillId="0" borderId="12" xfId="42" applyNumberFormat="1" applyFont="1" applyBorder="1" applyAlignment="1">
      <alignment horizontal="center"/>
    </xf>
    <xf numFmtId="2" fontId="24" fillId="0" borderId="13" xfId="42" applyNumberFormat="1" applyFont="1" applyBorder="1" applyAlignment="1">
      <alignment horizontal="center"/>
    </xf>
    <xf numFmtId="2" fontId="24" fillId="0" borderId="21" xfId="42" applyNumberFormat="1" applyFont="1" applyBorder="1" applyAlignment="1">
      <alignment horizontal="center"/>
    </xf>
    <xf numFmtId="166" fontId="25" fillId="0" borderId="0" xfId="42" applyNumberFormat="1" applyFont="1" applyFill="1" applyBorder="1" applyAlignment="1">
      <alignment horizontal="center"/>
    </xf>
    <xf numFmtId="166" fontId="24" fillId="0" borderId="17" xfId="42" quotePrefix="1" applyNumberFormat="1" applyFont="1" applyBorder="1" applyAlignment="1">
      <alignment horizontal="right"/>
    </xf>
    <xf numFmtId="0" fontId="24" fillId="0" borderId="20" xfId="42" applyFont="1" applyBorder="1"/>
    <xf numFmtId="0" fontId="24" fillId="0" borderId="14" xfId="42" applyFont="1" applyBorder="1"/>
    <xf numFmtId="0" fontId="24" fillId="0" borderId="0" xfId="42" applyFont="1" applyBorder="1" applyAlignment="1">
      <alignment horizontal="right"/>
    </xf>
    <xf numFmtId="0" fontId="24" fillId="0" borderId="22" xfId="42" applyFont="1" applyBorder="1"/>
    <xf numFmtId="0" fontId="24" fillId="0" borderId="53" xfId="42" applyFont="1" applyBorder="1" applyAlignment="1">
      <alignment horizontal="center"/>
    </xf>
    <xf numFmtId="0" fontId="24" fillId="0" borderId="24" xfId="42" applyFont="1" applyBorder="1" applyAlignment="1">
      <alignment horizontal="right"/>
    </xf>
    <xf numFmtId="0" fontId="24" fillId="0" borderId="11" xfId="42" applyFont="1" applyBorder="1" applyAlignment="1">
      <alignment horizontal="center"/>
    </xf>
    <xf numFmtId="1" fontId="25" fillId="24" borderId="56" xfId="42" applyNumberFormat="1" applyFont="1" applyFill="1" applyBorder="1" applyAlignment="1">
      <alignment horizontal="center"/>
    </xf>
    <xf numFmtId="0" fontId="25" fillId="0" borderId="25" xfId="42" applyFont="1" applyBorder="1" applyAlignment="1">
      <alignment horizontal="center"/>
    </xf>
    <xf numFmtId="0" fontId="25" fillId="0" borderId="16" xfId="42" applyFont="1" applyBorder="1" applyAlignment="1">
      <alignment horizontal="center"/>
    </xf>
    <xf numFmtId="0" fontId="24" fillId="0" borderId="10" xfId="42" applyFont="1" applyBorder="1" applyAlignment="1">
      <alignment horizontal="center"/>
    </xf>
    <xf numFmtId="0" fontId="25" fillId="0" borderId="29" xfId="42" applyFont="1" applyBorder="1" applyAlignment="1">
      <alignment horizontal="center"/>
    </xf>
    <xf numFmtId="0" fontId="25" fillId="0" borderId="54" xfId="42" applyFont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2" fontId="24" fillId="0" borderId="20" xfId="42" applyNumberFormat="1" applyFont="1" applyBorder="1" applyAlignment="1">
      <alignment horizontal="center"/>
    </xf>
    <xf numFmtId="10" fontId="24" fillId="0" borderId="42" xfId="42" applyNumberFormat="1" applyFont="1" applyBorder="1" applyAlignment="1">
      <alignment horizontal="center" vertical="center"/>
    </xf>
    <xf numFmtId="10" fontId="24" fillId="0" borderId="43" xfId="42" applyNumberFormat="1" applyFont="1" applyBorder="1" applyAlignment="1">
      <alignment horizontal="center" vertical="center"/>
    </xf>
    <xf numFmtId="10" fontId="24" fillId="0" borderId="51" xfId="42" applyNumberFormat="1" applyFont="1" applyBorder="1" applyAlignment="1">
      <alignment horizontal="center" vertical="center"/>
    </xf>
    <xf numFmtId="10" fontId="24" fillId="0" borderId="34" xfId="42" applyNumberFormat="1" applyFont="1" applyBorder="1" applyAlignment="1" applyProtection="1">
      <alignment horizontal="center"/>
    </xf>
    <xf numFmtId="10" fontId="24" fillId="0" borderId="36" xfId="42" applyNumberFormat="1" applyFont="1" applyBorder="1" applyAlignment="1" applyProtection="1">
      <alignment horizontal="center"/>
    </xf>
    <xf numFmtId="0" fontId="26" fillId="0" borderId="15" xfId="42" applyFont="1" applyFill="1" applyBorder="1" applyAlignment="1">
      <alignment horizontal="left" vertical="center" wrapText="1"/>
    </xf>
    <xf numFmtId="0" fontId="24" fillId="0" borderId="15" xfId="42" applyFont="1" applyBorder="1"/>
    <xf numFmtId="0" fontId="25" fillId="26" borderId="0" xfId="42" applyFont="1" applyFill="1" applyAlignment="1" applyProtection="1">
      <alignment horizontal="left"/>
      <protection locked="0"/>
    </xf>
    <xf numFmtId="0" fontId="24" fillId="26" borderId="0" xfId="42" applyFont="1" applyFill="1" applyAlignment="1" applyProtection="1">
      <alignment horizontal="left"/>
      <protection locked="0"/>
    </xf>
    <xf numFmtId="165" fontId="24" fillId="26" borderId="0" xfId="42" applyNumberFormat="1" applyFont="1" applyFill="1" applyAlignment="1" applyProtection="1">
      <alignment horizontal="left"/>
      <protection locked="0"/>
    </xf>
    <xf numFmtId="166" fontId="24" fillId="0" borderId="16" xfId="42" applyNumberFormat="1" applyFont="1" applyBorder="1" applyAlignment="1">
      <alignment horizontal="center"/>
    </xf>
    <xf numFmtId="166" fontId="24" fillId="0" borderId="12" xfId="42" applyNumberFormat="1" applyFont="1" applyBorder="1" applyAlignment="1">
      <alignment horizontal="center"/>
    </xf>
    <xf numFmtId="166" fontId="24" fillId="0" borderId="13" xfId="42" applyNumberFormat="1" applyFont="1" applyBorder="1" applyAlignment="1">
      <alignment horizontal="center"/>
    </xf>
    <xf numFmtId="166" fontId="24" fillId="0" borderId="32" xfId="42" applyNumberFormat="1" applyFont="1" applyBorder="1" applyAlignment="1">
      <alignment horizontal="center"/>
    </xf>
    <xf numFmtId="166" fontId="24" fillId="0" borderId="34" xfId="42" applyNumberFormat="1" applyFont="1" applyBorder="1" applyAlignment="1">
      <alignment horizontal="center"/>
    </xf>
    <xf numFmtId="166" fontId="24" fillId="0" borderId="36" xfId="42" applyNumberFormat="1" applyFont="1" applyBorder="1" applyAlignment="1">
      <alignment horizontal="center"/>
    </xf>
    <xf numFmtId="1" fontId="25" fillId="24" borderId="51" xfId="42" applyNumberFormat="1" applyFont="1" applyFill="1" applyBorder="1" applyAlignment="1">
      <alignment horizontal="center"/>
    </xf>
    <xf numFmtId="0" fontId="24" fillId="0" borderId="10" xfId="42" quotePrefix="1" applyFont="1" applyBorder="1" applyAlignment="1"/>
    <xf numFmtId="0" fontId="25" fillId="0" borderId="57" xfId="42" applyFont="1" applyBorder="1" applyAlignment="1"/>
    <xf numFmtId="0" fontId="24" fillId="0" borderId="10" xfId="42" applyFont="1" applyBorder="1" applyAlignment="1"/>
    <xf numFmtId="0" fontId="24" fillId="0" borderId="57" xfId="42" applyFont="1" applyBorder="1" applyAlignment="1"/>
    <xf numFmtId="0" fontId="24" fillId="0" borderId="25" xfId="42" applyFont="1" applyBorder="1" applyAlignment="1">
      <alignment horizontal="center"/>
    </xf>
    <xf numFmtId="0" fontId="25" fillId="0" borderId="0" xfId="42" applyFont="1" applyBorder="1" applyAlignment="1">
      <alignment horizontal="right"/>
    </xf>
    <xf numFmtId="10" fontId="24" fillId="0" borderId="19" xfId="42" applyNumberFormat="1" applyFont="1" applyBorder="1" applyAlignment="1">
      <alignment horizontal="center" vertical="center"/>
    </xf>
    <xf numFmtId="10" fontId="24" fillId="0" borderId="21" xfId="42" applyNumberFormat="1" applyFont="1" applyBorder="1" applyAlignment="1">
      <alignment horizontal="center" vertical="center"/>
    </xf>
    <xf numFmtId="10" fontId="24" fillId="0" borderId="23" xfId="42" applyNumberFormat="1" applyFont="1" applyBorder="1" applyAlignment="1">
      <alignment horizontal="center" vertical="center"/>
    </xf>
    <xf numFmtId="2" fontId="24" fillId="0" borderId="42" xfId="42" applyNumberFormat="1" applyFont="1" applyBorder="1" applyAlignment="1">
      <alignment horizontal="center"/>
    </xf>
    <xf numFmtId="2" fontId="24" fillId="0" borderId="43" xfId="42" applyNumberFormat="1" applyFont="1" applyBorder="1" applyAlignment="1">
      <alignment horizontal="center"/>
    </xf>
    <xf numFmtId="2" fontId="24" fillId="0" borderId="51" xfId="42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4" fillId="26" borderId="0" xfId="42" quotePrefix="1" applyFont="1" applyFill="1" applyAlignment="1" applyProtection="1">
      <protection locked="0"/>
    </xf>
    <xf numFmtId="164" fontId="25" fillId="0" borderId="0" xfId="42" applyNumberFormat="1" applyFont="1" applyFill="1" applyBorder="1" applyAlignment="1">
      <alignment horizontal="center"/>
    </xf>
    <xf numFmtId="0" fontId="25" fillId="0" borderId="21" xfId="42" applyFont="1" applyFill="1" applyBorder="1" applyAlignment="1" applyProtection="1">
      <alignment horizontal="center"/>
    </xf>
    <xf numFmtId="0" fontId="25" fillId="0" borderId="21" xfId="42" applyFont="1" applyFill="1" applyBorder="1" applyAlignment="1">
      <alignment horizontal="center"/>
    </xf>
    <xf numFmtId="10" fontId="24" fillId="0" borderId="45" xfId="42" applyNumberFormat="1" applyFont="1" applyBorder="1" applyAlignment="1" applyProtection="1">
      <alignment horizontal="center"/>
    </xf>
    <xf numFmtId="10" fontId="24" fillId="0" borderId="21" xfId="42" applyNumberFormat="1" applyFont="1" applyBorder="1" applyAlignment="1" applyProtection="1">
      <alignment horizontal="center"/>
    </xf>
    <xf numFmtId="10" fontId="24" fillId="0" borderId="46" xfId="42" applyNumberFormat="1" applyFont="1" applyBorder="1" applyAlignment="1" applyProtection="1">
      <alignment horizontal="center"/>
    </xf>
    <xf numFmtId="2" fontId="24" fillId="0" borderId="59" xfId="42" applyNumberFormat="1" applyFont="1" applyBorder="1" applyAlignment="1">
      <alignment horizontal="center"/>
    </xf>
    <xf numFmtId="2" fontId="24" fillId="0" borderId="60" xfId="42" applyNumberFormat="1" applyFont="1" applyBorder="1" applyAlignment="1">
      <alignment horizontal="center"/>
    </xf>
    <xf numFmtId="2" fontId="24" fillId="0" borderId="61" xfId="42" applyNumberFormat="1" applyFont="1" applyBorder="1" applyAlignment="1">
      <alignment horizontal="center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32" fillId="0" borderId="0" xfId="42" applyFont="1"/>
    <xf numFmtId="0" fontId="32" fillId="0" borderId="0" xfId="42" applyFont="1" applyAlignment="1">
      <alignment horizontal="left"/>
    </xf>
    <xf numFmtId="0" fontId="33" fillId="0" borderId="0" xfId="42" quotePrefix="1" applyFont="1" applyAlignment="1">
      <alignment horizontal="left"/>
    </xf>
    <xf numFmtId="0" fontId="33" fillId="0" borderId="0" xfId="42" applyFont="1" applyAlignment="1">
      <alignment horizontal="left"/>
    </xf>
    <xf numFmtId="0" fontId="5" fillId="0" borderId="0" xfId="42" applyFont="1"/>
    <xf numFmtId="0" fontId="33" fillId="0" borderId="0" xfId="42" applyFont="1"/>
    <xf numFmtId="2" fontId="33" fillId="0" borderId="0" xfId="42" applyNumberFormat="1" applyFont="1" applyAlignment="1">
      <alignment horizontal="center"/>
    </xf>
    <xf numFmtId="167" fontId="33" fillId="0" borderId="0" xfId="42" applyNumberFormat="1" applyFont="1" applyAlignment="1">
      <alignment horizontal="center"/>
    </xf>
    <xf numFmtId="0" fontId="33" fillId="0" borderId="58" xfId="42" applyFont="1" applyBorder="1" applyAlignment="1">
      <alignment horizontal="center"/>
    </xf>
    <xf numFmtId="0" fontId="33" fillId="0" borderId="17" xfId="42" quotePrefix="1" applyFont="1" applyBorder="1" applyAlignment="1">
      <alignment horizontal="center"/>
    </xf>
    <xf numFmtId="0" fontId="33" fillId="0" borderId="58" xfId="42" quotePrefix="1" applyFont="1" applyBorder="1" applyAlignment="1">
      <alignment horizontal="center"/>
    </xf>
    <xf numFmtId="0" fontId="5" fillId="0" borderId="60" xfId="42" applyFont="1" applyBorder="1" applyAlignment="1">
      <alignment horizontal="center"/>
    </xf>
    <xf numFmtId="0" fontId="34" fillId="26" borderId="60" xfId="42" applyFont="1" applyFill="1" applyBorder="1" applyAlignment="1" applyProtection="1">
      <alignment horizontal="center"/>
      <protection locked="0"/>
    </xf>
    <xf numFmtId="2" fontId="34" fillId="26" borderId="60" xfId="42" applyNumberFormat="1" applyFont="1" applyFill="1" applyBorder="1" applyAlignment="1" applyProtection="1">
      <alignment horizontal="center"/>
      <protection locked="0"/>
    </xf>
    <xf numFmtId="2" fontId="34" fillId="26" borderId="59" xfId="42" applyNumberFormat="1" applyFont="1" applyFill="1" applyBorder="1" applyAlignment="1" applyProtection="1">
      <alignment horizontal="center"/>
      <protection locked="0"/>
    </xf>
    <xf numFmtId="0" fontId="34" fillId="26" borderId="61" xfId="42" applyFont="1" applyFill="1" applyBorder="1" applyAlignment="1" applyProtection="1">
      <alignment horizontal="center"/>
      <protection locked="0"/>
    </xf>
    <xf numFmtId="2" fontId="34" fillId="26" borderId="61" xfId="42" applyNumberFormat="1" applyFont="1" applyFill="1" applyBorder="1" applyAlignment="1" applyProtection="1">
      <alignment horizontal="center"/>
      <protection locked="0"/>
    </xf>
    <xf numFmtId="0" fontId="5" fillId="0" borderId="59" xfId="42" applyFont="1" applyBorder="1"/>
    <xf numFmtId="1" fontId="33" fillId="27" borderId="17" xfId="42" applyNumberFormat="1" applyFont="1" applyFill="1" applyBorder="1" applyAlignment="1">
      <alignment horizontal="center"/>
    </xf>
    <xf numFmtId="1" fontId="33" fillId="27" borderId="58" xfId="42" applyNumberFormat="1" applyFont="1" applyFill="1" applyBorder="1" applyAlignment="1">
      <alignment horizontal="center"/>
    </xf>
    <xf numFmtId="2" fontId="33" fillId="27" borderId="58" xfId="42" applyNumberFormat="1" applyFont="1" applyFill="1" applyBorder="1" applyAlignment="1">
      <alignment horizontal="center"/>
    </xf>
    <xf numFmtId="0" fontId="5" fillId="0" borderId="60" xfId="42" applyFont="1" applyBorder="1"/>
    <xf numFmtId="10" fontId="33" fillId="28" borderId="58" xfId="42" applyNumberFormat="1" applyFont="1" applyFill="1" applyBorder="1" applyAlignment="1">
      <alignment horizontal="center"/>
    </xf>
    <xf numFmtId="169" fontId="33" fillId="0" borderId="0" xfId="42" applyNumberFormat="1" applyFont="1" applyFill="1" applyBorder="1" applyAlignment="1">
      <alignment horizontal="center"/>
    </xf>
    <xf numFmtId="0" fontId="5" fillId="0" borderId="14" xfId="42" applyFont="1" applyBorder="1"/>
    <xf numFmtId="0" fontId="5" fillId="0" borderId="61" xfId="42" applyFont="1" applyBorder="1"/>
    <xf numFmtId="0" fontId="33" fillId="27" borderId="58" xfId="42" applyFont="1" applyFill="1" applyBorder="1" applyAlignment="1">
      <alignment horizontal="center"/>
    </xf>
    <xf numFmtId="0" fontId="33" fillId="0" borderId="10" xfId="42" applyFont="1" applyFill="1" applyBorder="1" applyAlignment="1">
      <alignment horizontal="center"/>
    </xf>
    <xf numFmtId="0" fontId="5" fillId="0" borderId="10" xfId="42" applyFont="1" applyBorder="1"/>
    <xf numFmtId="0" fontId="5" fillId="0" borderId="62" xfId="42" applyFont="1" applyBorder="1"/>
    <xf numFmtId="0" fontId="5" fillId="0" borderId="0" xfId="42" applyFont="1" applyBorder="1"/>
    <xf numFmtId="0" fontId="5" fillId="0" borderId="0" xfId="42" quotePrefix="1" applyFont="1" applyAlignment="1" applyProtection="1">
      <alignment horizontal="left"/>
      <protection locked="0"/>
    </xf>
    <xf numFmtId="0" fontId="5" fillId="0" borderId="0" xfId="42" applyFont="1" applyProtection="1">
      <protection locked="0"/>
    </xf>
    <xf numFmtId="0" fontId="5" fillId="0" borderId="0" xfId="42" applyFont="1" applyBorder="1" applyProtection="1">
      <protection locked="0"/>
    </xf>
    <xf numFmtId="0" fontId="5" fillId="0" borderId="0" xfId="42" applyFont="1" applyAlignment="1" applyProtection="1">
      <alignment horizontal="left"/>
      <protection locked="0"/>
    </xf>
    <xf numFmtId="0" fontId="25" fillId="0" borderId="0" xfId="42" applyFont="1" applyFill="1" applyBorder="1" applyAlignment="1">
      <alignment horizontal="center"/>
    </xf>
    <xf numFmtId="0" fontId="25" fillId="0" borderId="0" xfId="42" applyFont="1" applyFill="1" applyBorder="1" applyAlignment="1" applyProtection="1">
      <alignment horizontal="center"/>
    </xf>
    <xf numFmtId="1" fontId="25" fillId="24" borderId="63" xfId="42" applyNumberFormat="1" applyFont="1" applyFill="1" applyBorder="1" applyAlignment="1">
      <alignment horizontal="center"/>
    </xf>
    <xf numFmtId="0" fontId="24" fillId="0" borderId="64" xfId="42" applyFont="1" applyBorder="1" applyAlignment="1">
      <alignment horizontal="right"/>
    </xf>
    <xf numFmtId="0" fontId="24" fillId="0" borderId="31" xfId="42" applyFont="1" applyBorder="1" applyAlignment="1">
      <alignment horizontal="right"/>
    </xf>
    <xf numFmtId="2" fontId="24" fillId="24" borderId="52" xfId="42" applyNumberFormat="1" applyFont="1" applyFill="1" applyBorder="1" applyAlignment="1">
      <alignment horizontal="center"/>
    </xf>
    <xf numFmtId="2" fontId="24" fillId="25" borderId="52" xfId="42" applyNumberFormat="1" applyFont="1" applyFill="1" applyBorder="1" applyAlignment="1">
      <alignment horizontal="center"/>
    </xf>
    <xf numFmtId="0" fontId="24" fillId="0" borderId="63" xfId="42" applyFont="1" applyBorder="1" applyAlignment="1">
      <alignment horizontal="right"/>
    </xf>
    <xf numFmtId="2" fontId="24" fillId="25" borderId="32" xfId="42" applyNumberFormat="1" applyFont="1" applyFill="1" applyBorder="1" applyAlignment="1">
      <alignment horizontal="center"/>
    </xf>
    <xf numFmtId="0" fontId="24" fillId="0" borderId="39" xfId="42" applyFont="1" applyBorder="1" applyAlignment="1">
      <alignment horizontal="right"/>
    </xf>
    <xf numFmtId="166" fontId="25" fillId="25" borderId="39" xfId="42" applyNumberFormat="1" applyFont="1" applyFill="1" applyBorder="1" applyAlignment="1">
      <alignment horizontal="center"/>
    </xf>
    <xf numFmtId="0" fontId="24" fillId="0" borderId="22" xfId="42" applyFont="1" applyBorder="1" applyAlignment="1">
      <alignment horizontal="right"/>
    </xf>
    <xf numFmtId="1" fontId="25" fillId="24" borderId="66" xfId="42" applyNumberFormat="1" applyFont="1" applyFill="1" applyBorder="1" applyAlignment="1">
      <alignment horizontal="center"/>
    </xf>
    <xf numFmtId="2" fontId="24" fillId="25" borderId="52" xfId="42" applyNumberFormat="1" applyFont="1" applyFill="1" applyBorder="1" applyAlignment="1" applyProtection="1">
      <alignment horizontal="center"/>
    </xf>
    <xf numFmtId="2" fontId="24" fillId="25" borderId="32" xfId="42" applyNumberFormat="1" applyFont="1" applyFill="1" applyBorder="1" applyAlignment="1" applyProtection="1">
      <alignment horizontal="center"/>
    </xf>
    <xf numFmtId="0" fontId="24" fillId="0" borderId="10" xfId="42" quotePrefix="1" applyFont="1" applyBorder="1" applyAlignment="1" applyProtection="1">
      <protection locked="0"/>
    </xf>
    <xf numFmtId="0" fontId="25" fillId="0" borderId="57" xfId="42" applyFont="1" applyBorder="1" applyAlignment="1" applyProtection="1">
      <protection locked="0"/>
    </xf>
    <xf numFmtId="0" fontId="24" fillId="0" borderId="0" xfId="42" quotePrefix="1" applyFont="1" applyBorder="1" applyAlignment="1">
      <alignment horizontal="right"/>
    </xf>
    <xf numFmtId="0" fontId="24" fillId="0" borderId="0" xfId="42" applyFont="1" applyBorder="1" applyAlignment="1"/>
    <xf numFmtId="169" fontId="25" fillId="0" borderId="0" xfId="42" applyNumberFormat="1" applyFont="1" applyFill="1" applyBorder="1" applyAlignment="1">
      <alignment horizontal="center"/>
    </xf>
    <xf numFmtId="0" fontId="4" fillId="0" borderId="0" xfId="42" quotePrefix="1" applyFont="1" applyAlignment="1">
      <alignment horizontal="center"/>
    </xf>
    <xf numFmtId="0" fontId="32" fillId="0" borderId="0" xfId="42" applyFont="1" applyAlignment="1"/>
    <xf numFmtId="0" fontId="33" fillId="0" borderId="0" xfId="42" applyFont="1" applyAlignment="1">
      <alignment horizontal="right"/>
    </xf>
    <xf numFmtId="170" fontId="5" fillId="0" borderId="0" xfId="42" applyNumberFormat="1" applyFont="1"/>
    <xf numFmtId="0" fontId="36" fillId="0" borderId="0" xfId="42" applyFont="1"/>
    <xf numFmtId="167" fontId="33" fillId="0" borderId="67" xfId="42" applyNumberFormat="1" applyFont="1" applyBorder="1" applyAlignment="1">
      <alignment horizontal="center" wrapText="1"/>
    </xf>
    <xf numFmtId="0" fontId="33" fillId="0" borderId="67" xfId="42" applyFont="1" applyBorder="1" applyAlignment="1">
      <alignment horizontal="center" wrapText="1"/>
    </xf>
    <xf numFmtId="2" fontId="5" fillId="26" borderId="43" xfId="42" applyNumberFormat="1" applyFont="1" applyFill="1" applyBorder="1" applyProtection="1">
      <protection locked="0"/>
    </xf>
    <xf numFmtId="10" fontId="5" fillId="0" borderId="42" xfId="42" applyNumberFormat="1" applyFont="1" applyBorder="1" applyAlignment="1">
      <alignment horizontal="center"/>
    </xf>
    <xf numFmtId="10" fontId="5" fillId="0" borderId="43" xfId="42" applyNumberFormat="1" applyFont="1" applyBorder="1" applyAlignment="1">
      <alignment horizontal="center"/>
    </xf>
    <xf numFmtId="2" fontId="5" fillId="26" borderId="51" xfId="42" applyNumberFormat="1" applyFont="1" applyFill="1" applyBorder="1" applyProtection="1">
      <protection locked="0"/>
    </xf>
    <xf numFmtId="10" fontId="5" fillId="0" borderId="51" xfId="42" applyNumberFormat="1" applyFont="1" applyBorder="1" applyAlignment="1">
      <alignment horizontal="center"/>
    </xf>
    <xf numFmtId="0" fontId="5" fillId="0" borderId="67" xfId="42" applyFont="1" applyBorder="1" applyAlignment="1">
      <alignment horizontal="right" vertical="center"/>
    </xf>
    <xf numFmtId="164" fontId="5" fillId="0" borderId="67" xfId="42" applyNumberFormat="1" applyFont="1" applyBorder="1" applyAlignment="1">
      <alignment horizontal="center" vertical="center"/>
    </xf>
    <xf numFmtId="164" fontId="5" fillId="0" borderId="0" xfId="42" applyNumberFormat="1" applyFont="1" applyAlignment="1">
      <alignment horizontal="center"/>
    </xf>
    <xf numFmtId="167" fontId="33" fillId="0" borderId="67" xfId="42" applyNumberFormat="1" applyFont="1" applyBorder="1" applyAlignment="1">
      <alignment horizontal="center" vertical="center"/>
    </xf>
    <xf numFmtId="2" fontId="33" fillId="0" borderId="0" xfId="42" applyNumberFormat="1" applyFont="1"/>
    <xf numFmtId="0" fontId="33" fillId="0" borderId="67" xfId="42" applyFont="1" applyBorder="1" applyAlignment="1">
      <alignment horizontal="center" vertical="center"/>
    </xf>
    <xf numFmtId="10" fontId="3" fillId="0" borderId="0" xfId="43" applyNumberFormat="1" applyFont="1"/>
    <xf numFmtId="169" fontId="33" fillId="0" borderId="39" xfId="42" applyNumberFormat="1" applyFont="1" applyBorder="1" applyAlignment="1">
      <alignment horizontal="center"/>
    </xf>
    <xf numFmtId="2" fontId="33" fillId="0" borderId="67" xfId="42" applyNumberFormat="1" applyFont="1" applyBorder="1" applyAlignment="1">
      <alignment horizontal="center" vertical="center"/>
    </xf>
    <xf numFmtId="169" fontId="33" fillId="0" borderId="41" xfId="42" applyNumberFormat="1" applyFont="1" applyBorder="1" applyAlignment="1">
      <alignment horizontal="center"/>
    </xf>
    <xf numFmtId="0" fontId="5" fillId="0" borderId="15" xfId="42" applyFont="1" applyBorder="1"/>
    <xf numFmtId="0" fontId="5" fillId="0" borderId="0" xfId="42" applyFont="1" applyAlignment="1">
      <alignment horizontal="center"/>
    </xf>
    <xf numFmtId="10" fontId="5" fillId="0" borderId="15" xfId="43" applyNumberFormat="1" applyFont="1" applyBorder="1"/>
    <xf numFmtId="0" fontId="33" fillId="0" borderId="25" xfId="42" applyFont="1" applyBorder="1" applyAlignment="1"/>
    <xf numFmtId="0" fontId="33" fillId="0" borderId="25" xfId="42" applyFont="1" applyBorder="1" applyAlignment="1">
      <alignment horizontal="center"/>
    </xf>
    <xf numFmtId="0" fontId="5" fillId="0" borderId="25" xfId="42" applyFont="1" applyBorder="1" applyAlignment="1">
      <alignment horizontal="center"/>
    </xf>
    <xf numFmtId="0" fontId="33" fillId="0" borderId="0" xfId="42" applyFont="1" applyBorder="1" applyAlignment="1">
      <alignment horizontal="right"/>
    </xf>
    <xf numFmtId="0" fontId="5" fillId="0" borderId="10" xfId="42" quotePrefix="1" applyFont="1" applyBorder="1" applyAlignment="1"/>
    <xf numFmtId="0" fontId="5" fillId="0" borderId="0" xfId="42" quotePrefix="1" applyFont="1" applyBorder="1" applyAlignment="1"/>
    <xf numFmtId="0" fontId="5" fillId="0" borderId="10" xfId="42" applyFont="1" applyBorder="1" applyAlignment="1"/>
    <xf numFmtId="0" fontId="33" fillId="0" borderId="57" xfId="42" applyFont="1" applyBorder="1" applyAlignment="1"/>
    <xf numFmtId="0" fontId="33" fillId="0" borderId="0" xfId="42" applyFont="1" applyBorder="1" applyAlignment="1"/>
    <xf numFmtId="0" fontId="5" fillId="0" borderId="57" xfId="42" applyFont="1" applyBorder="1" applyAlignment="1"/>
    <xf numFmtId="0" fontId="26" fillId="0" borderId="0" xfId="42" applyFont="1" applyBorder="1" applyAlignment="1"/>
    <xf numFmtId="0" fontId="5" fillId="0" borderId="0" xfId="42" quotePrefix="1" applyFont="1" applyAlignment="1">
      <alignment horizontal="left"/>
    </xf>
    <xf numFmtId="170" fontId="5" fillId="0" borderId="0" xfId="42" quotePrefix="1" applyNumberFormat="1" applyFont="1" applyAlignment="1">
      <alignment horizontal="left"/>
    </xf>
    <xf numFmtId="0" fontId="38" fillId="26" borderId="0" xfId="42" applyFont="1" applyFill="1" applyAlignment="1" applyProtection="1">
      <alignment horizontal="center"/>
      <protection locked="0"/>
    </xf>
    <xf numFmtId="0" fontId="38" fillId="26" borderId="0" xfId="42" applyFont="1" applyFill="1" applyBorder="1" applyAlignment="1" applyProtection="1">
      <alignment horizontal="center"/>
      <protection locked="0"/>
    </xf>
    <xf numFmtId="2" fontId="38" fillId="26" borderId="0" xfId="42" applyNumberFormat="1" applyFont="1" applyFill="1" applyAlignment="1" applyProtection="1">
      <alignment horizontal="center"/>
      <protection locked="0"/>
    </xf>
    <xf numFmtId="0" fontId="38" fillId="26" borderId="19" xfId="42" applyFont="1" applyFill="1" applyBorder="1" applyAlignment="1" applyProtection="1">
      <alignment horizontal="center"/>
      <protection locked="0"/>
    </xf>
    <xf numFmtId="0" fontId="38" fillId="26" borderId="21" xfId="42" applyFont="1" applyFill="1" applyBorder="1" applyAlignment="1" applyProtection="1">
      <alignment horizontal="center"/>
      <protection locked="0"/>
    </xf>
    <xf numFmtId="0" fontId="38" fillId="26" borderId="33" xfId="42" applyFont="1" applyFill="1" applyBorder="1" applyAlignment="1" applyProtection="1">
      <alignment horizontal="center"/>
      <protection locked="0"/>
    </xf>
    <xf numFmtId="0" fontId="38" fillId="26" borderId="20" xfId="42" applyFont="1" applyFill="1" applyBorder="1" applyAlignment="1" applyProtection="1">
      <alignment horizontal="center"/>
      <protection locked="0"/>
    </xf>
    <xf numFmtId="0" fontId="38" fillId="26" borderId="35" xfId="42" applyFont="1" applyFill="1" applyBorder="1" applyAlignment="1" applyProtection="1">
      <alignment horizontal="center"/>
      <protection locked="0"/>
    </xf>
    <xf numFmtId="0" fontId="38" fillId="26" borderId="65" xfId="42" applyFont="1" applyFill="1" applyBorder="1" applyAlignment="1" applyProtection="1">
      <alignment horizontal="center"/>
      <protection locked="0"/>
    </xf>
    <xf numFmtId="0" fontId="38" fillId="26" borderId="39" xfId="42" applyFont="1" applyFill="1" applyBorder="1" applyAlignment="1" applyProtection="1">
      <alignment horizontal="center"/>
      <protection locked="0"/>
    </xf>
    <xf numFmtId="0" fontId="38" fillId="26" borderId="52" xfId="42" applyFont="1" applyFill="1" applyBorder="1" applyAlignment="1" applyProtection="1">
      <alignment horizontal="center"/>
      <protection locked="0"/>
    </xf>
    <xf numFmtId="2" fontId="39" fillId="0" borderId="23" xfId="42" applyNumberFormat="1" applyFont="1" applyBorder="1" applyAlignment="1">
      <alignment horizontal="center"/>
    </xf>
    <xf numFmtId="0" fontId="38" fillId="26" borderId="18" xfId="42" applyFont="1" applyFill="1" applyBorder="1" applyAlignment="1" applyProtection="1">
      <alignment horizontal="center"/>
      <protection locked="0"/>
    </xf>
    <xf numFmtId="0" fontId="38" fillId="26" borderId="22" xfId="42" applyFont="1" applyFill="1" applyBorder="1" applyAlignment="1" applyProtection="1">
      <alignment horizontal="center"/>
      <protection locked="0"/>
    </xf>
    <xf numFmtId="10" fontId="38" fillId="25" borderId="46" xfId="42" applyNumberFormat="1" applyFont="1" applyFill="1" applyBorder="1" applyAlignment="1">
      <alignment horizontal="center"/>
    </xf>
    <xf numFmtId="10" fontId="38" fillId="24" borderId="47" xfId="42" applyNumberFormat="1" applyFont="1" applyFill="1" applyBorder="1" applyAlignment="1">
      <alignment horizontal="center"/>
    </xf>
    <xf numFmtId="0" fontId="38" fillId="25" borderId="55" xfId="42" applyFont="1" applyFill="1" applyBorder="1" applyAlignment="1">
      <alignment horizontal="center"/>
    </xf>
    <xf numFmtId="166" fontId="38" fillId="26" borderId="35" xfId="42" applyNumberFormat="1" applyFont="1" applyFill="1" applyBorder="1" applyAlignment="1" applyProtection="1">
      <alignment horizontal="center"/>
      <protection locked="0"/>
    </xf>
    <xf numFmtId="1" fontId="38" fillId="26" borderId="12" xfId="42" applyNumberFormat="1" applyFont="1" applyFill="1" applyBorder="1" applyAlignment="1" applyProtection="1">
      <alignment horizontal="center"/>
      <protection locked="0"/>
    </xf>
    <xf numFmtId="1" fontId="38" fillId="26" borderId="13" xfId="42" applyNumberFormat="1" applyFont="1" applyFill="1" applyBorder="1" applyAlignment="1" applyProtection="1">
      <alignment horizontal="center"/>
      <protection locked="0"/>
    </xf>
    <xf numFmtId="0" fontId="40" fillId="26" borderId="0" xfId="42" applyFont="1" applyFill="1" applyBorder="1" applyAlignment="1" applyProtection="1">
      <alignment horizontal="center"/>
      <protection locked="0"/>
    </xf>
    <xf numFmtId="0" fontId="39" fillId="26" borderId="19" xfId="42" applyFont="1" applyFill="1" applyBorder="1" applyAlignment="1" applyProtection="1">
      <alignment horizontal="center"/>
      <protection locked="0"/>
    </xf>
    <xf numFmtId="0" fontId="39" fillId="26" borderId="21" xfId="42" applyFont="1" applyFill="1" applyBorder="1" applyAlignment="1" applyProtection="1">
      <alignment horizontal="center"/>
      <protection locked="0"/>
    </xf>
    <xf numFmtId="1" fontId="39" fillId="26" borderId="12" xfId="42" applyNumberFormat="1" applyFont="1" applyFill="1" applyBorder="1" applyAlignment="1" applyProtection="1">
      <alignment horizontal="center"/>
      <protection locked="0"/>
    </xf>
    <xf numFmtId="1" fontId="39" fillId="26" borderId="13" xfId="42" applyNumberFormat="1" applyFont="1" applyFill="1" applyBorder="1" applyAlignment="1" applyProtection="1">
      <alignment horizontal="center"/>
      <protection locked="0"/>
    </xf>
    <xf numFmtId="10" fontId="38" fillId="25" borderId="52" xfId="42" applyNumberFormat="1" applyFont="1" applyFill="1" applyBorder="1" applyAlignment="1">
      <alignment horizontal="center"/>
    </xf>
    <xf numFmtId="10" fontId="38" fillId="24" borderId="52" xfId="42" applyNumberFormat="1" applyFont="1" applyFill="1" applyBorder="1" applyAlignment="1">
      <alignment horizontal="center"/>
    </xf>
    <xf numFmtId="0" fontId="38" fillId="25" borderId="41" xfId="42" applyFont="1" applyFill="1" applyBorder="1" applyAlignment="1">
      <alignment horizontal="center"/>
    </xf>
    <xf numFmtId="169" fontId="38" fillId="0" borderId="0" xfId="42" applyNumberFormat="1" applyFont="1" applyFill="1" applyBorder="1" applyAlignment="1">
      <alignment horizontal="center"/>
    </xf>
    <xf numFmtId="0" fontId="24" fillId="0" borderId="21" xfId="42" applyFont="1" applyFill="1" applyBorder="1" applyAlignment="1" applyProtection="1">
      <alignment horizontal="center"/>
      <protection locked="0"/>
    </xf>
    <xf numFmtId="0" fontId="35" fillId="0" borderId="26" xfId="42" applyFont="1" applyBorder="1" applyAlignment="1">
      <alignment horizontal="center" wrapText="1"/>
    </xf>
    <xf numFmtId="0" fontId="35" fillId="0" borderId="28" xfId="42" applyFont="1" applyBorder="1" applyAlignment="1">
      <alignment horizontal="center" wrapText="1"/>
    </xf>
    <xf numFmtId="0" fontId="35" fillId="0" borderId="27" xfId="42" applyFont="1" applyBorder="1" applyAlignment="1">
      <alignment horizontal="center" wrapText="1"/>
    </xf>
    <xf numFmtId="164" fontId="33" fillId="0" borderId="42" xfId="42" applyNumberFormat="1" applyFont="1" applyBorder="1" applyAlignment="1">
      <alignment horizontal="center" vertical="center"/>
    </xf>
    <xf numFmtId="164" fontId="33" fillId="0" borderId="51" xfId="42" applyNumberFormat="1" applyFont="1" applyBorder="1" applyAlignment="1">
      <alignment horizontal="center" vertical="center"/>
    </xf>
    <xf numFmtId="0" fontId="32" fillId="0" borderId="0" xfId="42" applyFont="1" applyAlignment="1">
      <alignment horizontal="center"/>
    </xf>
    <xf numFmtId="0" fontId="33" fillId="0" borderId="0" xfId="42" applyFont="1" applyAlignment="1">
      <alignment horizontal="right"/>
    </xf>
    <xf numFmtId="167" fontId="2" fillId="0" borderId="0" xfId="42" applyNumberFormat="1" applyFont="1" applyAlignment="1">
      <alignment horizontal="center"/>
    </xf>
    <xf numFmtId="0" fontId="37" fillId="0" borderId="26" xfId="42" applyFont="1" applyBorder="1" applyAlignment="1">
      <alignment horizontal="center"/>
    </xf>
    <xf numFmtId="0" fontId="37" fillId="0" borderId="28" xfId="42" applyFont="1" applyBorder="1" applyAlignment="1">
      <alignment horizontal="center"/>
    </xf>
    <xf numFmtId="0" fontId="37" fillId="0" borderId="27" xfId="42" applyFont="1" applyBorder="1" applyAlignment="1">
      <alignment horizontal="center"/>
    </xf>
    <xf numFmtId="0" fontId="4" fillId="0" borderId="0" xfId="42" quotePrefix="1" applyFont="1" applyAlignment="1">
      <alignment horizontal="center"/>
    </xf>
    <xf numFmtId="0" fontId="33" fillId="0" borderId="0" xfId="42" applyFont="1" applyAlignment="1">
      <alignment horizontal="left"/>
    </xf>
    <xf numFmtId="0" fontId="25" fillId="0" borderId="25" xfId="42" applyFont="1" applyBorder="1" applyAlignment="1">
      <alignment horizontal="center"/>
    </xf>
    <xf numFmtId="0" fontId="26" fillId="0" borderId="26" xfId="42" applyFont="1" applyFill="1" applyBorder="1" applyAlignment="1">
      <alignment horizontal="justify" vertical="center" wrapText="1"/>
    </xf>
    <xf numFmtId="0" fontId="26" fillId="0" borderId="28" xfId="42" applyFont="1" applyFill="1" applyBorder="1" applyAlignment="1">
      <alignment horizontal="justify" vertical="center" wrapText="1"/>
    </xf>
    <xf numFmtId="0" fontId="26" fillId="0" borderId="27" xfId="42" applyFont="1" applyFill="1" applyBorder="1" applyAlignment="1">
      <alignment horizontal="justify" vertical="center" wrapText="1"/>
    </xf>
    <xf numFmtId="0" fontId="25" fillId="0" borderId="29" xfId="42" applyFont="1" applyBorder="1" applyAlignment="1">
      <alignment horizontal="center"/>
    </xf>
    <xf numFmtId="0" fontId="25" fillId="0" borderId="30" xfId="42" applyFont="1" applyBorder="1" applyAlignment="1">
      <alignment horizontal="center"/>
    </xf>
    <xf numFmtId="0" fontId="26" fillId="0" borderId="26" xfId="42" applyFont="1" applyFill="1" applyBorder="1" applyAlignment="1">
      <alignment horizontal="left" vertical="center" wrapText="1"/>
    </xf>
    <xf numFmtId="0" fontId="26" fillId="0" borderId="28" xfId="42" applyFont="1" applyFill="1" applyBorder="1" applyAlignment="1">
      <alignment horizontal="left" vertical="center" wrapText="1"/>
    </xf>
    <xf numFmtId="0" fontId="26" fillId="0" borderId="27" xfId="42" applyFont="1" applyFill="1" applyBorder="1" applyAlignment="1">
      <alignment horizontal="left" vertical="center" wrapText="1"/>
    </xf>
    <xf numFmtId="0" fontId="25" fillId="0" borderId="25" xfId="42" applyFont="1" applyBorder="1" applyAlignment="1">
      <alignment horizontal="center" vertical="center"/>
    </xf>
    <xf numFmtId="0" fontId="25" fillId="0" borderId="0" xfId="42" applyFont="1" applyBorder="1" applyAlignment="1">
      <alignment horizontal="center" vertical="center"/>
    </xf>
    <xf numFmtId="0" fontId="25" fillId="0" borderId="15" xfId="42" applyFont="1" applyBorder="1" applyAlignment="1">
      <alignment horizontal="center" vertical="center"/>
    </xf>
    <xf numFmtId="0" fontId="25" fillId="0" borderId="22" xfId="42" applyFont="1" applyBorder="1" applyAlignment="1">
      <alignment horizontal="center" vertical="center"/>
    </xf>
    <xf numFmtId="2" fontId="38" fillId="26" borderId="42" xfId="42" applyNumberFormat="1" applyFont="1" applyFill="1" applyBorder="1" applyAlignment="1" applyProtection="1">
      <alignment horizontal="center" vertical="center"/>
      <protection locked="0"/>
    </xf>
    <xf numFmtId="2" fontId="38" fillId="26" borderId="43" xfId="42" applyNumberFormat="1" applyFont="1" applyFill="1" applyBorder="1" applyAlignment="1" applyProtection="1">
      <alignment horizontal="center" vertical="center"/>
      <protection locked="0"/>
    </xf>
    <xf numFmtId="2" fontId="38" fillId="26" borderId="51" xfId="42" applyNumberFormat="1" applyFont="1" applyFill="1" applyBorder="1" applyAlignment="1" applyProtection="1">
      <alignment horizontal="center" vertical="center"/>
      <protection locked="0"/>
    </xf>
    <xf numFmtId="0" fontId="25" fillId="0" borderId="54" xfId="42" applyFont="1" applyBorder="1" applyAlignment="1">
      <alignment horizontal="center"/>
    </xf>
    <xf numFmtId="0" fontId="26" fillId="0" borderId="18" xfId="42" applyFont="1" applyFill="1" applyBorder="1" applyAlignment="1">
      <alignment horizontal="left" vertical="center" wrapText="1"/>
    </xf>
    <xf numFmtId="0" fontId="26" fillId="0" borderId="19" xfId="42" applyFont="1" applyFill="1" applyBorder="1" applyAlignment="1">
      <alignment horizontal="left" vertical="center" wrapText="1"/>
    </xf>
    <xf numFmtId="0" fontId="26" fillId="0" borderId="22" xfId="42" applyFont="1" applyFill="1" applyBorder="1" applyAlignment="1">
      <alignment horizontal="left" vertical="center" wrapText="1"/>
    </xf>
    <xf numFmtId="0" fontId="26" fillId="0" borderId="23" xfId="42" applyFont="1" applyFill="1" applyBorder="1" applyAlignment="1">
      <alignment horizontal="left" vertical="center" wrapText="1"/>
    </xf>
    <xf numFmtId="0" fontId="25" fillId="0" borderId="0" xfId="42" quotePrefix="1" applyFont="1" applyBorder="1" applyAlignment="1">
      <alignment horizontal="center"/>
    </xf>
    <xf numFmtId="0" fontId="25" fillId="26" borderId="0" xfId="42" applyFont="1" applyFill="1" applyAlignment="1" applyProtection="1">
      <alignment horizontal="left"/>
      <protection locked="0"/>
    </xf>
    <xf numFmtId="0" fontId="26" fillId="0" borderId="25" xfId="42" applyFont="1" applyFill="1" applyBorder="1" applyAlignment="1">
      <alignment horizontal="left" vertical="center" wrapText="1"/>
    </xf>
    <xf numFmtId="0" fontId="26" fillId="0" borderId="15" xfId="42" applyFont="1" applyFill="1" applyBorder="1" applyAlignment="1">
      <alignment horizontal="left" vertical="center" wrapText="1"/>
    </xf>
    <xf numFmtId="0" fontId="26" fillId="0" borderId="18" xfId="42" applyFont="1" applyFill="1" applyBorder="1" applyAlignment="1">
      <alignment horizontal="center" vertical="center" wrapText="1"/>
    </xf>
    <xf numFmtId="0" fontId="26" fillId="0" borderId="19" xfId="42" applyFont="1" applyFill="1" applyBorder="1" applyAlignment="1">
      <alignment horizontal="center" vertical="center" wrapText="1"/>
    </xf>
    <xf numFmtId="0" fontId="26" fillId="0" borderId="22" xfId="42" applyFont="1" applyFill="1" applyBorder="1" applyAlignment="1">
      <alignment horizontal="center" vertical="center" wrapText="1"/>
    </xf>
    <xf numFmtId="0" fontId="26" fillId="0" borderId="23" xfId="42" applyFont="1" applyFill="1" applyBorder="1" applyAlignment="1">
      <alignment horizontal="center" vertical="center" wrapText="1"/>
    </xf>
    <xf numFmtId="0" fontId="38" fillId="26" borderId="0" xfId="42" applyFont="1" applyFill="1" applyAlignment="1" applyProtection="1">
      <alignment horizontal="left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581024</xdr:colOff>
      <xdr:row>9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86724" cy="152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28574</xdr:rowOff>
    </xdr:from>
    <xdr:to>
      <xdr:col>7</xdr:col>
      <xdr:colOff>2597727</xdr:colOff>
      <xdr:row>13</xdr:row>
      <xdr:rowOff>225136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8574"/>
          <a:ext cx="20709082" cy="3348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zoomScaleNormal="100" zoomScaleSheetLayoutView="100" workbookViewId="0">
      <selection activeCell="C34" sqref="C34"/>
    </sheetView>
  </sheetViews>
  <sheetFormatPr defaultRowHeight="12.75"/>
  <cols>
    <col min="1" max="1" width="15.5703125" style="1" bestFit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/>
    <col min="6" max="6" width="27.85546875" style="1" customWidth="1"/>
    <col min="7" max="7" width="12.28515625" style="1" bestFit="1" customWidth="1"/>
    <col min="8" max="16384" width="9.140625" style="1"/>
  </cols>
  <sheetData>
    <row r="10" spans="1:8" ht="13.5" thickBot="1"/>
    <row r="11" spans="1:8" ht="13.5" customHeight="1" thickBot="1">
      <c r="A11" s="267" t="s">
        <v>101</v>
      </c>
      <c r="B11" s="268"/>
      <c r="C11" s="268"/>
      <c r="D11" s="268"/>
      <c r="E11" s="268"/>
      <c r="F11" s="268"/>
      <c r="G11" s="268"/>
      <c r="H11" s="269"/>
    </row>
    <row r="12" spans="1:8" ht="16.5">
      <c r="A12" s="272" t="s">
        <v>102</v>
      </c>
      <c r="B12" s="272"/>
      <c r="C12" s="272"/>
      <c r="D12" s="272"/>
      <c r="E12" s="272"/>
      <c r="F12" s="272"/>
      <c r="G12" s="200"/>
    </row>
    <row r="14" spans="1:8" ht="16.5">
      <c r="A14" s="273" t="s">
        <v>1</v>
      </c>
      <c r="B14" s="273"/>
      <c r="C14" s="148">
        <f>'Component 1'!B18:C18</f>
        <v>0</v>
      </c>
    </row>
    <row r="15" spans="1:8" ht="16.5">
      <c r="A15" s="273" t="s">
        <v>2</v>
      </c>
      <c r="B15" s="273"/>
      <c r="C15" s="148">
        <f>'Component 1'!B19:C19</f>
        <v>0</v>
      </c>
    </row>
    <row r="16" spans="1:8" ht="16.5">
      <c r="A16" s="273" t="s">
        <v>3</v>
      </c>
      <c r="B16" s="273"/>
      <c r="C16" s="148">
        <f>'Component 1'!B20:C20</f>
        <v>0</v>
      </c>
    </row>
    <row r="17" spans="1:5" ht="16.5">
      <c r="A17" s="273" t="s">
        <v>4</v>
      </c>
      <c r="B17" s="273"/>
      <c r="C17" s="148">
        <f>'Component 1'!B21:C21</f>
        <v>0</v>
      </c>
    </row>
    <row r="18" spans="1:5" ht="16.5">
      <c r="A18" s="273" t="s">
        <v>17</v>
      </c>
      <c r="B18" s="273"/>
      <c r="C18" s="202">
        <f>'Component 1'!B22:C22</f>
        <v>0</v>
      </c>
    </row>
    <row r="19" spans="1:5" ht="16.5">
      <c r="A19" s="273" t="s">
        <v>5</v>
      </c>
      <c r="B19" s="273"/>
      <c r="C19" s="202">
        <f>'Component 1'!B23:C23</f>
        <v>0</v>
      </c>
    </row>
    <row r="20" spans="1:5" ht="16.5">
      <c r="A20" s="201"/>
      <c r="B20" s="201"/>
      <c r="C20" s="202"/>
    </row>
    <row r="21" spans="1:5" ht="16.5">
      <c r="A21" s="272" t="s">
        <v>7</v>
      </c>
      <c r="B21" s="272"/>
      <c r="C21" s="145" t="s">
        <v>103</v>
      </c>
      <c r="D21" s="203"/>
    </row>
    <row r="22" spans="1:5" ht="15.75" thickBot="1">
      <c r="A22" s="274"/>
      <c r="B22" s="274"/>
      <c r="C22" s="7"/>
      <c r="D22" s="274"/>
      <c r="E22" s="274"/>
    </row>
    <row r="23" spans="1:5" ht="33.75" thickBot="1">
      <c r="C23" s="204" t="s">
        <v>104</v>
      </c>
      <c r="D23" s="205" t="s">
        <v>105</v>
      </c>
      <c r="E23" s="2"/>
    </row>
    <row r="24" spans="1:5" ht="15.75">
      <c r="C24" s="206">
        <v>249.97</v>
      </c>
      <c r="D24" s="207">
        <f t="shared" ref="D24:D43" si="0">(C24-$C$46)/$C$46</f>
        <v>6.1847536664740846E-3</v>
      </c>
      <c r="E24" s="3"/>
    </row>
    <row r="25" spans="1:5" ht="15.75">
      <c r="C25" s="206">
        <v>250.51</v>
      </c>
      <c r="D25" s="208">
        <f t="shared" si="0"/>
        <v>8.3583735687819127E-3</v>
      </c>
      <c r="E25" s="3"/>
    </row>
    <row r="26" spans="1:5" ht="15.75">
      <c r="C26" s="206">
        <v>249.78</v>
      </c>
      <c r="D26" s="208">
        <f t="shared" si="0"/>
        <v>5.4199614786250312E-3</v>
      </c>
      <c r="E26" s="3"/>
    </row>
    <row r="27" spans="1:5" ht="15.75">
      <c r="C27" s="206">
        <v>249.87</v>
      </c>
      <c r="D27" s="208">
        <f t="shared" si="0"/>
        <v>5.782231462343022E-3</v>
      </c>
      <c r="E27" s="3"/>
    </row>
    <row r="28" spans="1:5" ht="15.75">
      <c r="C28" s="206">
        <v>249.21</v>
      </c>
      <c r="D28" s="208">
        <f t="shared" si="0"/>
        <v>3.1255849150778722E-3</v>
      </c>
      <c r="E28" s="3"/>
    </row>
    <row r="29" spans="1:5" ht="15.75">
      <c r="C29" s="206">
        <v>248.39</v>
      </c>
      <c r="D29" s="208">
        <f t="shared" si="0"/>
        <v>-1.7509715879711457E-4</v>
      </c>
      <c r="E29" s="3"/>
    </row>
    <row r="30" spans="1:5" ht="15.75">
      <c r="C30" s="206">
        <v>251.86</v>
      </c>
      <c r="D30" s="208">
        <f t="shared" si="0"/>
        <v>1.3792423324551658E-2</v>
      </c>
      <c r="E30" s="3"/>
    </row>
    <row r="31" spans="1:5" ht="15.75">
      <c r="C31" s="206">
        <v>249.02</v>
      </c>
      <c r="D31" s="208">
        <f t="shared" si="0"/>
        <v>2.3607927272288193E-3</v>
      </c>
      <c r="E31" s="3"/>
    </row>
    <row r="32" spans="1:5" ht="15.75">
      <c r="C32" s="206">
        <v>249.8</v>
      </c>
      <c r="D32" s="208">
        <f t="shared" si="0"/>
        <v>5.5004659194512898E-3</v>
      </c>
      <c r="E32" s="3"/>
    </row>
    <row r="33" spans="1:7" ht="15.75">
      <c r="C33" s="206">
        <v>250</v>
      </c>
      <c r="D33" s="208">
        <f t="shared" si="0"/>
        <v>6.3055103277134148E-3</v>
      </c>
      <c r="E33" s="3"/>
    </row>
    <row r="34" spans="1:7" ht="15.75">
      <c r="C34" s="206">
        <v>229</v>
      </c>
      <c r="D34" s="208">
        <f t="shared" si="0"/>
        <v>-7.8224152539814518E-2</v>
      </c>
      <c r="E34" s="3"/>
    </row>
    <row r="35" spans="1:7" ht="15.75">
      <c r="C35" s="206">
        <v>249.02</v>
      </c>
      <c r="D35" s="208">
        <f t="shared" si="0"/>
        <v>2.3607927272288193E-3</v>
      </c>
      <c r="E35" s="3"/>
    </row>
    <row r="36" spans="1:7" ht="15.75">
      <c r="C36" s="206">
        <v>247.84</v>
      </c>
      <c r="D36" s="208">
        <f t="shared" si="0"/>
        <v>-2.3889692815180154E-3</v>
      </c>
      <c r="E36" s="3"/>
    </row>
    <row r="37" spans="1:7" ht="15.75">
      <c r="C37" s="206">
        <v>250.59</v>
      </c>
      <c r="D37" s="208">
        <f t="shared" si="0"/>
        <v>8.6803913320868328E-3</v>
      </c>
      <c r="E37" s="3"/>
    </row>
    <row r="38" spans="1:7" ht="15.75">
      <c r="C38" s="206">
        <v>248.37</v>
      </c>
      <c r="D38" s="208">
        <f t="shared" si="0"/>
        <v>-2.5560159962325843E-4</v>
      </c>
      <c r="E38" s="3"/>
    </row>
    <row r="39" spans="1:7" ht="15.75">
      <c r="C39" s="206">
        <v>248.47</v>
      </c>
      <c r="D39" s="208">
        <f t="shared" si="0"/>
        <v>1.4692060450780407E-4</v>
      </c>
      <c r="E39" s="3"/>
    </row>
    <row r="40" spans="1:7" ht="15.75">
      <c r="C40" s="206">
        <v>251.03</v>
      </c>
      <c r="D40" s="208">
        <f t="shared" si="0"/>
        <v>1.0451489030263598E-2</v>
      </c>
      <c r="E40" s="3"/>
    </row>
    <row r="41" spans="1:7" ht="15.75">
      <c r="C41" s="206">
        <v>251.25</v>
      </c>
      <c r="D41" s="208">
        <f t="shared" si="0"/>
        <v>1.1337037879351981E-2</v>
      </c>
      <c r="E41" s="3"/>
    </row>
    <row r="42" spans="1:7" ht="15.75">
      <c r="C42" s="206">
        <v>247.45</v>
      </c>
      <c r="D42" s="208">
        <f t="shared" si="0"/>
        <v>-3.9588058776293079E-3</v>
      </c>
      <c r="E42" s="3"/>
    </row>
    <row r="43" spans="1:7" ht="16.5" thickBot="1">
      <c r="C43" s="209">
        <v>247.24</v>
      </c>
      <c r="D43" s="210">
        <f t="shared" si="0"/>
        <v>-4.8041025063045046E-3</v>
      </c>
      <c r="E43" s="3"/>
    </row>
    <row r="44" spans="1:7" ht="16.5" thickBot="1">
      <c r="C44" s="4"/>
      <c r="D44" s="3"/>
      <c r="E44" s="5"/>
    </row>
    <row r="45" spans="1:7" ht="16.5" thickBot="1">
      <c r="B45" s="211" t="s">
        <v>106</v>
      </c>
      <c r="C45" s="212">
        <f>SUM(C24:C44)</f>
        <v>4968.67</v>
      </c>
      <c r="D45" s="213"/>
      <c r="E45" s="4"/>
    </row>
    <row r="46" spans="1:7" ht="17.25" thickBot="1">
      <c r="B46" s="211" t="s">
        <v>107</v>
      </c>
      <c r="C46" s="214">
        <f>AVERAGE(C24:C44)</f>
        <v>248.43350000000001</v>
      </c>
      <c r="E46" s="6"/>
    </row>
    <row r="47" spans="1:7" ht="17.25" thickBot="1">
      <c r="A47" s="148"/>
      <c r="B47" s="215"/>
      <c r="D47" s="8"/>
      <c r="E47" s="6"/>
    </row>
    <row r="48" spans="1:7" ht="33.75" thickBot="1">
      <c r="B48" s="216" t="s">
        <v>107</v>
      </c>
      <c r="C48" s="205" t="s">
        <v>108</v>
      </c>
      <c r="D48" s="217"/>
      <c r="G48" s="8"/>
    </row>
    <row r="49" spans="1:6" ht="17.25" thickBot="1">
      <c r="B49" s="270">
        <f>C46</f>
        <v>248.43350000000001</v>
      </c>
      <c r="C49" s="218">
        <f>-IF(C46&lt;=80,10%,IF(C46&lt;250,7.5%,5%))</f>
        <v>-7.4999999999999997E-2</v>
      </c>
      <c r="D49" s="219">
        <f>IF(C46&lt;=80,C46*0.9,IF(C46&lt;250,C46*0.925,C46*0.95))</f>
        <v>229.80098750000002</v>
      </c>
    </row>
    <row r="50" spans="1:6" ht="17.25" thickBot="1">
      <c r="B50" s="271"/>
      <c r="C50" s="220">
        <f>IF(C46&lt;=80, 10%, IF(C46&lt;250, 7.5%, 5%))</f>
        <v>7.4999999999999997E-2</v>
      </c>
      <c r="D50" s="219">
        <f>IF(C46&lt;=80, C46*1.1, IF(C46&lt;250, C46*1.075, C46*1.05))</f>
        <v>267.0660125</v>
      </c>
    </row>
    <row r="51" spans="1:6" ht="16.5" thickBot="1">
      <c r="A51" s="221"/>
      <c r="B51" s="222"/>
      <c r="C51" s="148"/>
      <c r="D51" s="223"/>
      <c r="E51" s="148"/>
      <c r="F51" s="203"/>
    </row>
    <row r="52" spans="1:6" ht="16.5">
      <c r="A52" s="148"/>
      <c r="B52" s="224" t="s">
        <v>63</v>
      </c>
      <c r="C52" s="224"/>
      <c r="D52" s="225" t="s">
        <v>65</v>
      </c>
      <c r="E52" s="226"/>
      <c r="F52" s="225" t="s">
        <v>64</v>
      </c>
    </row>
    <row r="53" spans="1:6" ht="34.5" customHeight="1">
      <c r="A53" s="227" t="s">
        <v>11</v>
      </c>
      <c r="B53" s="228"/>
      <c r="C53" s="229"/>
      <c r="D53" s="228"/>
      <c r="E53" s="174"/>
      <c r="F53" s="230"/>
    </row>
    <row r="54" spans="1:6" ht="34.5" customHeight="1">
      <c r="A54" s="227" t="s">
        <v>66</v>
      </c>
      <c r="B54" s="231"/>
      <c r="C54" s="232"/>
      <c r="D54" s="231"/>
      <c r="E54" s="174"/>
      <c r="F54" s="233"/>
    </row>
  </sheetData>
  <sheetProtection password="AD9C" sheet="1" objects="1" scenarios="1" formatCells="0" formatColumns="0"/>
  <mergeCells count="12">
    <mergeCell ref="A11:H11"/>
    <mergeCell ref="B49:B50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:D44">
    <cfRule type="cellIs" dxfId="0" priority="1" stopIfTrue="1" operator="notBetween">
      <formula>IF($C$46&lt;=80,-10.5%,IF($C$46&lt;250,-7.5%,-5.5%))</formula>
      <formula>IF($C$46&lt;=80,10.5%, IF($C$46&lt;250,7.5%,5.5%))</formula>
    </cfRule>
  </conditionalFormatting>
  <pageMargins left="0.75" right="0.75" top="1" bottom="1" header="0.5" footer="0.5"/>
  <pageSetup scale="69" orientation="portrait" r:id="rId1"/>
  <headerFooter alignWithMargins="0">
    <oddFooter>&amp;C&amp;P of &amp;N&amp;R&amp;D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view="pageBreakPreview" topLeftCell="A52" zoomScaleSheetLayoutView="100" workbookViewId="0">
      <selection activeCell="B28" sqref="B28"/>
    </sheetView>
  </sheetViews>
  <sheetFormatPr defaultRowHeight="13.5"/>
  <cols>
    <col min="1" max="1" width="27.5703125" style="142" bestFit="1" customWidth="1"/>
    <col min="2" max="2" width="20.42578125" style="142" customWidth="1"/>
    <col min="3" max="3" width="31.85546875" style="142" customWidth="1"/>
    <col min="4" max="4" width="25.85546875" style="142" bestFit="1" customWidth="1"/>
    <col min="5" max="5" width="25.7109375" style="142" bestFit="1" customWidth="1"/>
    <col min="6" max="6" width="23.140625" style="142" customWidth="1"/>
    <col min="7" max="7" width="28.42578125" style="142" customWidth="1"/>
    <col min="8" max="8" width="21.5703125" style="142" customWidth="1"/>
    <col min="9" max="16384" width="9.140625" style="142"/>
  </cols>
  <sheetData>
    <row r="13" spans="1:9">
      <c r="F13" s="140"/>
      <c r="G13" s="140"/>
      <c r="H13" s="140"/>
      <c r="I13" s="140"/>
    </row>
    <row r="14" spans="1:9" ht="15.75" thickBot="1">
      <c r="A14" s="139"/>
      <c r="B14" s="140"/>
      <c r="C14" s="141"/>
      <c r="D14" s="140"/>
      <c r="F14" s="143"/>
      <c r="G14" s="140"/>
      <c r="H14" s="140"/>
      <c r="I14" s="140"/>
    </row>
    <row r="15" spans="1:9" ht="19.5" thickBot="1">
      <c r="A15" s="275" t="s">
        <v>101</v>
      </c>
      <c r="B15" s="276"/>
      <c r="C15" s="276"/>
      <c r="D15" s="276"/>
      <c r="E15" s="276"/>
      <c r="F15" s="277"/>
      <c r="G15" s="234"/>
      <c r="H15" s="234"/>
      <c r="I15" s="140"/>
    </row>
    <row r="16" spans="1:9" ht="20.100000000000001" customHeight="1">
      <c r="A16" s="278" t="s">
        <v>73</v>
      </c>
      <c r="B16" s="278"/>
      <c r="C16" s="278"/>
      <c r="D16" s="278"/>
      <c r="E16" s="278"/>
      <c r="F16" s="140"/>
      <c r="G16" s="140"/>
      <c r="H16" s="140"/>
      <c r="I16" s="140"/>
    </row>
    <row r="17" spans="1:9" ht="20.100000000000001" customHeight="1">
      <c r="A17" s="201" t="s">
        <v>1</v>
      </c>
      <c r="B17" s="235">
        <f>'Component 1'!B18:C18</f>
        <v>0</v>
      </c>
      <c r="C17" s="199"/>
      <c r="D17" s="199"/>
      <c r="E17" s="199"/>
      <c r="F17" s="140"/>
      <c r="G17" s="140"/>
      <c r="H17" s="140"/>
      <c r="I17" s="140"/>
    </row>
    <row r="18" spans="1:9" ht="20.100000000000001" customHeight="1">
      <c r="A18" s="201" t="s">
        <v>2</v>
      </c>
      <c r="B18" s="235">
        <f>'Component 1'!B19:C19</f>
        <v>0</v>
      </c>
      <c r="C18" s="199"/>
      <c r="D18" s="199"/>
      <c r="E18" s="199"/>
      <c r="F18" s="140"/>
      <c r="G18" s="140"/>
      <c r="H18" s="140"/>
      <c r="I18" s="140"/>
    </row>
    <row r="19" spans="1:9" ht="20.100000000000001" customHeight="1">
      <c r="A19" s="201" t="s">
        <v>3</v>
      </c>
      <c r="B19" s="235">
        <f>'Component 1'!B20:C20</f>
        <v>0</v>
      </c>
      <c r="C19" s="199"/>
      <c r="D19" s="199"/>
      <c r="E19" s="199"/>
      <c r="F19" s="140"/>
      <c r="G19" s="140"/>
      <c r="H19" s="140"/>
      <c r="I19" s="140"/>
    </row>
    <row r="20" spans="1:9" ht="20.100000000000001" customHeight="1">
      <c r="A20" s="201" t="s">
        <v>4</v>
      </c>
      <c r="B20" s="235">
        <f>'Component 1'!B21:C21</f>
        <v>0</v>
      </c>
      <c r="C20" s="199"/>
      <c r="D20" s="199"/>
      <c r="E20" s="199"/>
      <c r="F20" s="140"/>
      <c r="G20" s="140"/>
      <c r="H20" s="140"/>
      <c r="I20" s="140"/>
    </row>
    <row r="21" spans="1:9" ht="20.100000000000001" customHeight="1">
      <c r="A21" s="201" t="s">
        <v>17</v>
      </c>
      <c r="B21" s="236">
        <f>'Component 1'!B22:C22</f>
        <v>0</v>
      </c>
      <c r="C21" s="199"/>
      <c r="D21" s="199"/>
      <c r="E21" s="199"/>
      <c r="F21" s="140"/>
      <c r="G21" s="140"/>
      <c r="H21" s="140"/>
      <c r="I21" s="140"/>
    </row>
    <row r="22" spans="1:9" ht="20.100000000000001" customHeight="1">
      <c r="A22" s="201" t="s">
        <v>5</v>
      </c>
      <c r="B22" s="236">
        <f>'Component 1'!B23:C23</f>
        <v>0</v>
      </c>
      <c r="C22" s="199"/>
      <c r="D22" s="199"/>
      <c r="E22" s="199"/>
      <c r="F22" s="140"/>
      <c r="G22" s="140"/>
      <c r="H22" s="140"/>
      <c r="I22" s="140"/>
    </row>
    <row r="23" spans="1:9" ht="20.100000000000001" customHeight="1">
      <c r="A23" s="201"/>
      <c r="B23" s="236"/>
      <c r="C23" s="199"/>
      <c r="D23" s="199"/>
      <c r="E23" s="199"/>
      <c r="F23" s="140"/>
      <c r="G23" s="140"/>
      <c r="H23" s="140"/>
      <c r="I23" s="140"/>
    </row>
    <row r="24" spans="1:9" ht="16.5">
      <c r="A24" s="144" t="s">
        <v>7</v>
      </c>
      <c r="B24" s="145" t="s">
        <v>74</v>
      </c>
      <c r="F24" s="140"/>
      <c r="G24" s="140"/>
      <c r="H24" s="140"/>
      <c r="I24" s="140"/>
    </row>
    <row r="25" spans="1:9" ht="16.5">
      <c r="A25" s="149" t="s">
        <v>9</v>
      </c>
      <c r="B25" s="279" t="str">
        <f>'Component 1'!B26</f>
        <v>USP Amoxicillin RS</v>
      </c>
      <c r="C25" s="279"/>
      <c r="D25" s="148"/>
      <c r="E25" s="148"/>
    </row>
    <row r="26" spans="1:9" ht="16.5">
      <c r="A26" s="149" t="s">
        <v>10</v>
      </c>
      <c r="B26" s="150">
        <f>'Component 1'!B30</f>
        <v>85.3</v>
      </c>
      <c r="C26" s="148"/>
      <c r="D26" s="148"/>
      <c r="E26" s="148"/>
    </row>
    <row r="27" spans="1:9" ht="16.5">
      <c r="A27" s="146" t="s">
        <v>75</v>
      </c>
      <c r="B27" s="150">
        <f>'Component 1'!D43</f>
        <v>26.98</v>
      </c>
      <c r="C27" s="148"/>
      <c r="D27" s="148"/>
      <c r="E27" s="148"/>
    </row>
    <row r="28" spans="1:9" ht="16.5">
      <c r="A28" s="146" t="s">
        <v>76</v>
      </c>
      <c r="B28" s="151">
        <f>B27/'Component 1'!B45</f>
        <v>0.53959999999999997</v>
      </c>
      <c r="C28" s="148"/>
      <c r="D28" s="148"/>
      <c r="E28" s="148"/>
    </row>
    <row r="29" spans="1:9" ht="15.75">
      <c r="A29" s="148"/>
      <c r="B29" s="148"/>
      <c r="C29" s="148"/>
      <c r="D29" s="148"/>
      <c r="E29" s="148"/>
    </row>
    <row r="30" spans="1:9" ht="16.5">
      <c r="A30" s="152" t="s">
        <v>77</v>
      </c>
      <c r="B30" s="153" t="s">
        <v>78</v>
      </c>
      <c r="C30" s="152" t="s">
        <v>79</v>
      </c>
      <c r="D30" s="152" t="s">
        <v>80</v>
      </c>
      <c r="E30" s="154" t="s">
        <v>81</v>
      </c>
    </row>
    <row r="31" spans="1:9" ht="16.5">
      <c r="A31" s="155">
        <v>1</v>
      </c>
      <c r="B31" s="156">
        <v>78670603</v>
      </c>
      <c r="C31" s="156">
        <v>12401.1</v>
      </c>
      <c r="D31" s="157">
        <v>1.1000000000000001</v>
      </c>
      <c r="E31" s="158">
        <v>5.6</v>
      </c>
    </row>
    <row r="32" spans="1:9" ht="16.5">
      <c r="A32" s="155">
        <v>2</v>
      </c>
      <c r="B32" s="156">
        <v>78915972</v>
      </c>
      <c r="C32" s="156">
        <v>12353.7</v>
      </c>
      <c r="D32" s="157">
        <v>1.1000000000000001</v>
      </c>
      <c r="E32" s="157">
        <v>5.5</v>
      </c>
    </row>
    <row r="33" spans="1:6" ht="16.5">
      <c r="A33" s="155">
        <v>3</v>
      </c>
      <c r="B33" s="156">
        <v>78829427</v>
      </c>
      <c r="C33" s="156">
        <v>12312.3</v>
      </c>
      <c r="D33" s="157">
        <v>1.1000000000000001</v>
      </c>
      <c r="E33" s="157">
        <v>5.5</v>
      </c>
    </row>
    <row r="34" spans="1:6" ht="16.5">
      <c r="A34" s="155">
        <v>4</v>
      </c>
      <c r="B34" s="156">
        <v>78792109</v>
      </c>
      <c r="C34" s="156">
        <v>12287.1</v>
      </c>
      <c r="D34" s="157">
        <v>1.1000000000000001</v>
      </c>
      <c r="E34" s="157">
        <v>5.5</v>
      </c>
    </row>
    <row r="35" spans="1:6" ht="16.5">
      <c r="A35" s="155">
        <v>5</v>
      </c>
      <c r="B35" s="156">
        <v>78425089</v>
      </c>
      <c r="C35" s="156">
        <v>12260.2</v>
      </c>
      <c r="D35" s="157">
        <v>1.1000000000000001</v>
      </c>
      <c r="E35" s="157">
        <v>5.5</v>
      </c>
    </row>
    <row r="36" spans="1:6" ht="16.5">
      <c r="A36" s="155">
        <v>6</v>
      </c>
      <c r="B36" s="159">
        <v>78796902</v>
      </c>
      <c r="C36" s="159">
        <v>12238.6</v>
      </c>
      <c r="D36" s="160">
        <v>1.1000000000000001</v>
      </c>
      <c r="E36" s="160">
        <v>5.5</v>
      </c>
    </row>
    <row r="37" spans="1:6" ht="16.5">
      <c r="A37" s="161" t="s">
        <v>82</v>
      </c>
      <c r="B37" s="162">
        <f>AVERAGE(B31:B36)</f>
        <v>78738350.333333328</v>
      </c>
      <c r="C37" s="163">
        <f>AVERAGE(C31:C36)</f>
        <v>12308.833333333336</v>
      </c>
      <c r="D37" s="164">
        <f>AVERAGE(D31:D36)</f>
        <v>1.0999999999999999</v>
      </c>
      <c r="E37" s="164">
        <f>AVERAGE(E31:E36)</f>
        <v>5.5166666666666666</v>
      </c>
    </row>
    <row r="38" spans="1:6" ht="16.5">
      <c r="A38" s="165" t="s">
        <v>83</v>
      </c>
      <c r="B38" s="166">
        <f>(STDEV(B31:B36)/B37)</f>
        <v>2.1915645334450542E-3</v>
      </c>
      <c r="C38" s="167"/>
      <c r="D38" s="167"/>
      <c r="E38" s="168"/>
      <c r="F38" s="140"/>
    </row>
    <row r="39" spans="1:6" s="140" customFormat="1" ht="16.5">
      <c r="A39" s="169" t="s">
        <v>6</v>
      </c>
      <c r="B39" s="170">
        <f>COUNT(B31:B36)</f>
        <v>6</v>
      </c>
      <c r="C39" s="171"/>
      <c r="D39" s="172"/>
      <c r="E39" s="173"/>
    </row>
    <row r="40" spans="1:6" s="140" customFormat="1" ht="15.75">
      <c r="A40" s="148"/>
      <c r="B40" s="148"/>
      <c r="C40" s="148"/>
      <c r="D40" s="148"/>
      <c r="E40" s="174"/>
    </row>
    <row r="41" spans="1:6" s="140" customFormat="1" ht="16.5">
      <c r="A41" s="149" t="s">
        <v>84</v>
      </c>
      <c r="B41" s="175" t="s">
        <v>85</v>
      </c>
      <c r="C41" s="176"/>
      <c r="D41" s="176"/>
      <c r="E41" s="177"/>
    </row>
    <row r="42" spans="1:6" ht="16.5">
      <c r="A42" s="149"/>
      <c r="B42" s="175" t="s">
        <v>86</v>
      </c>
      <c r="C42" s="176"/>
      <c r="D42" s="176"/>
      <c r="E42" s="177"/>
      <c r="F42" s="140"/>
    </row>
    <row r="43" spans="1:6" ht="16.5">
      <c r="A43" s="149"/>
      <c r="B43" s="178" t="s">
        <v>87</v>
      </c>
      <c r="C43" s="176"/>
      <c r="D43" s="176"/>
      <c r="E43" s="176"/>
    </row>
    <row r="44" spans="1:6" ht="15.75">
      <c r="A44" s="148"/>
      <c r="B44" s="148"/>
      <c r="C44" s="148"/>
      <c r="D44" s="148"/>
      <c r="E44" s="148"/>
    </row>
    <row r="45" spans="1:6" ht="16.5">
      <c r="A45" s="144" t="s">
        <v>7</v>
      </c>
      <c r="B45" s="145" t="s">
        <v>88</v>
      </c>
    </row>
    <row r="46" spans="1:6" ht="16.5">
      <c r="A46" s="149" t="s">
        <v>9</v>
      </c>
      <c r="B46" s="147" t="str">
        <f>'Component 1'!B80</f>
        <v>USP Amoxicillin RS</v>
      </c>
      <c r="C46" s="148"/>
      <c r="D46" s="148"/>
      <c r="E46" s="148"/>
    </row>
    <row r="47" spans="1:6" ht="16.5">
      <c r="A47" s="149" t="s">
        <v>10</v>
      </c>
      <c r="B47" s="150">
        <f>'Component 1'!B84</f>
        <v>85.3</v>
      </c>
      <c r="C47" s="148"/>
      <c r="D47" s="148"/>
      <c r="E47" s="148"/>
    </row>
    <row r="48" spans="1:6" ht="16.5">
      <c r="A48" s="146" t="s">
        <v>75</v>
      </c>
      <c r="B48" s="150">
        <f>'Component 1'!D97</f>
        <v>25.33</v>
      </c>
      <c r="C48" s="148"/>
      <c r="D48" s="148"/>
      <c r="E48" s="148"/>
    </row>
    <row r="49" spans="1:6" ht="16.5">
      <c r="A49" s="146" t="s">
        <v>76</v>
      </c>
      <c r="B49" s="151">
        <f>B48/'Component 1'!B99</f>
        <v>0.50659999999999994</v>
      </c>
      <c r="C49" s="148"/>
      <c r="D49" s="148"/>
      <c r="E49" s="148"/>
    </row>
    <row r="50" spans="1:6" ht="15.75">
      <c r="A50" s="148"/>
      <c r="B50" s="148"/>
      <c r="C50" s="148"/>
      <c r="D50" s="148"/>
      <c r="E50" s="148"/>
    </row>
    <row r="51" spans="1:6" ht="16.5">
      <c r="A51" s="152" t="s">
        <v>77</v>
      </c>
      <c r="B51" s="153" t="s">
        <v>78</v>
      </c>
      <c r="C51" s="152" t="s">
        <v>79</v>
      </c>
      <c r="D51" s="152" t="s">
        <v>80</v>
      </c>
      <c r="E51" s="154" t="s">
        <v>81</v>
      </c>
    </row>
    <row r="52" spans="1:6" ht="16.5">
      <c r="A52" s="155">
        <v>1</v>
      </c>
      <c r="B52" s="156">
        <v>78670603</v>
      </c>
      <c r="C52" s="156">
        <v>12401.1</v>
      </c>
      <c r="D52" s="157">
        <v>1.1000000000000001</v>
      </c>
      <c r="E52" s="158">
        <v>5.6</v>
      </c>
    </row>
    <row r="53" spans="1:6" ht="16.5">
      <c r="A53" s="155">
        <v>2</v>
      </c>
      <c r="B53" s="156">
        <v>78915972</v>
      </c>
      <c r="C53" s="156">
        <v>12353.7</v>
      </c>
      <c r="D53" s="157">
        <v>1.1000000000000001</v>
      </c>
      <c r="E53" s="157">
        <v>5.5</v>
      </c>
    </row>
    <row r="54" spans="1:6" ht="16.5">
      <c r="A54" s="155">
        <v>3</v>
      </c>
      <c r="B54" s="156">
        <v>78829427</v>
      </c>
      <c r="C54" s="156">
        <v>12312.3</v>
      </c>
      <c r="D54" s="157">
        <v>1.1000000000000001</v>
      </c>
      <c r="E54" s="157">
        <v>5.5</v>
      </c>
    </row>
    <row r="55" spans="1:6" ht="16.5">
      <c r="A55" s="155">
        <v>4</v>
      </c>
      <c r="B55" s="156">
        <v>78792109</v>
      </c>
      <c r="C55" s="156">
        <v>12287.1</v>
      </c>
      <c r="D55" s="157">
        <v>1.1000000000000001</v>
      </c>
      <c r="E55" s="157">
        <v>5.5</v>
      </c>
    </row>
    <row r="56" spans="1:6" ht="16.5">
      <c r="A56" s="155">
        <v>5</v>
      </c>
      <c r="B56" s="156">
        <v>78425089</v>
      </c>
      <c r="C56" s="156">
        <v>12260.2</v>
      </c>
      <c r="D56" s="157">
        <v>1.1000000000000001</v>
      </c>
      <c r="E56" s="157">
        <v>5.5</v>
      </c>
    </row>
    <row r="57" spans="1:6" ht="16.5">
      <c r="A57" s="155">
        <v>6</v>
      </c>
      <c r="B57" s="159">
        <v>78796902</v>
      </c>
      <c r="C57" s="159">
        <v>12238.6</v>
      </c>
      <c r="D57" s="160">
        <v>1.1000000000000001</v>
      </c>
      <c r="E57" s="160">
        <v>5.5</v>
      </c>
    </row>
    <row r="58" spans="1:6" ht="16.5">
      <c r="A58" s="161" t="s">
        <v>82</v>
      </c>
      <c r="B58" s="162">
        <f>AVERAGE(B52:B57)</f>
        <v>78738350.333333328</v>
      </c>
      <c r="C58" s="163">
        <f>AVERAGE(C52:C57)</f>
        <v>12308.833333333336</v>
      </c>
      <c r="D58" s="164">
        <f>AVERAGE(D52:D57)</f>
        <v>1.0999999999999999</v>
      </c>
      <c r="E58" s="164">
        <f>AVERAGE(E52:E57)</f>
        <v>5.5166666666666666</v>
      </c>
    </row>
    <row r="59" spans="1:6" ht="16.5">
      <c r="A59" s="165" t="s">
        <v>83</v>
      </c>
      <c r="B59" s="166">
        <f>(STDEV(B52:B57)/B58)</f>
        <v>2.1915645334450542E-3</v>
      </c>
      <c r="C59" s="167"/>
      <c r="D59" s="167"/>
      <c r="E59" s="168"/>
      <c r="F59" s="140"/>
    </row>
    <row r="60" spans="1:6" s="140" customFormat="1" ht="16.5">
      <c r="A60" s="169" t="s">
        <v>6</v>
      </c>
      <c r="B60" s="170">
        <f>COUNT(B52:B57)</f>
        <v>6</v>
      </c>
      <c r="C60" s="171"/>
      <c r="D60" s="172"/>
      <c r="E60" s="173"/>
    </row>
    <row r="61" spans="1:6" s="140" customFormat="1" ht="15.75">
      <c r="A61" s="148"/>
      <c r="B61" s="148"/>
      <c r="C61" s="148"/>
      <c r="D61" s="148"/>
      <c r="E61" s="174"/>
    </row>
    <row r="62" spans="1:6" s="140" customFormat="1" ht="16.5">
      <c r="A62" s="149" t="s">
        <v>84</v>
      </c>
      <c r="B62" s="175" t="s">
        <v>85</v>
      </c>
      <c r="C62" s="176"/>
      <c r="D62" s="176"/>
      <c r="E62" s="177"/>
    </row>
    <row r="63" spans="1:6" ht="16.5">
      <c r="A63" s="149"/>
      <c r="B63" s="175" t="s">
        <v>86</v>
      </c>
      <c r="C63" s="176"/>
      <c r="D63" s="176"/>
      <c r="E63" s="177"/>
      <c r="F63" s="140"/>
    </row>
    <row r="64" spans="1:6" ht="16.5">
      <c r="A64" s="149"/>
      <c r="B64" s="178" t="s">
        <v>87</v>
      </c>
      <c r="C64" s="176"/>
      <c r="D64" s="176"/>
      <c r="E64" s="176"/>
    </row>
    <row r="65" spans="1:6" ht="16.5" thickBot="1">
      <c r="A65" s="221"/>
      <c r="B65" s="222"/>
      <c r="C65" s="148"/>
      <c r="D65" s="223"/>
      <c r="E65" s="148"/>
      <c r="F65" s="203"/>
    </row>
    <row r="66" spans="1:6" ht="16.5">
      <c r="A66" s="148"/>
      <c r="B66" s="224" t="s">
        <v>63</v>
      </c>
      <c r="C66" s="224"/>
      <c r="D66" s="225" t="s">
        <v>65</v>
      </c>
      <c r="E66" s="226"/>
      <c r="F66" s="225" t="s">
        <v>64</v>
      </c>
    </row>
    <row r="67" spans="1:6" ht="34.5" customHeight="1">
      <c r="A67" s="227" t="s">
        <v>11</v>
      </c>
      <c r="B67" s="228"/>
      <c r="C67" s="229"/>
      <c r="D67" s="228"/>
      <c r="E67" s="174"/>
      <c r="F67" s="230"/>
    </row>
    <row r="68" spans="1:6" ht="34.5" customHeight="1">
      <c r="A68" s="227" t="s">
        <v>66</v>
      </c>
      <c r="B68" s="231"/>
      <c r="C68" s="232"/>
      <c r="D68" s="231"/>
      <c r="E68" s="174"/>
      <c r="F68" s="233"/>
    </row>
  </sheetData>
  <sheetProtection password="AD9C" sheet="1" objects="1" scenarios="1" formatCells="0" formatColumns="0" formatRows="0"/>
  <mergeCells count="3">
    <mergeCell ref="A15:F15"/>
    <mergeCell ref="A16:E16"/>
    <mergeCell ref="B25:C25"/>
  </mergeCells>
  <printOptions horizontalCentered="1"/>
  <pageMargins left="0.75" right="0.75" top="0.49" bottom="1" header="0.5" footer="0.5"/>
  <pageSetup scale="58" orientation="portrait" r:id="rId1"/>
  <headerFooter alignWithMargins="0">
    <oddFooter>&amp;C&amp;P of &amp;N&amp;R&amp;D &amp;T</oddFooter>
  </headerFooter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51"/>
  <sheetViews>
    <sheetView tabSelected="1" view="pageBreakPreview" topLeftCell="A46" zoomScale="55" zoomScaleNormal="75" zoomScaleSheetLayoutView="55" zoomScalePageLayoutView="55" workbookViewId="0">
      <selection activeCell="B147" sqref="B147:B148"/>
    </sheetView>
  </sheetViews>
  <sheetFormatPr defaultRowHeight="18.75"/>
  <cols>
    <col min="1" max="1" width="55.42578125" style="10" customWidth="1"/>
    <col min="2" max="2" width="33.7109375" style="10" customWidth="1"/>
    <col min="3" max="3" width="42.28515625" style="10" bestFit="1" customWidth="1"/>
    <col min="4" max="4" width="30.5703125" style="10" customWidth="1"/>
    <col min="5" max="5" width="39.85546875" style="10" customWidth="1"/>
    <col min="6" max="6" width="30.7109375" style="10" customWidth="1"/>
    <col min="7" max="7" width="39.85546875" style="10" customWidth="1"/>
    <col min="8" max="8" width="41.140625" style="10" bestFit="1" customWidth="1"/>
    <col min="9" max="9" width="30.28515625" style="10" bestFit="1" customWidth="1"/>
    <col min="10" max="10" width="30.42578125" style="10" customWidth="1"/>
    <col min="11" max="11" width="21.28515625" style="10" customWidth="1"/>
    <col min="12" max="16384" width="9.140625" style="10"/>
  </cols>
  <sheetData>
    <row r="15" spans="1:8" ht="19.5" thickBot="1"/>
    <row r="16" spans="1:8" ht="19.5" thickBot="1">
      <c r="A16" s="275" t="s">
        <v>101</v>
      </c>
      <c r="B16" s="276"/>
      <c r="C16" s="276"/>
      <c r="D16" s="276"/>
      <c r="E16" s="276"/>
      <c r="F16" s="276"/>
      <c r="G16" s="276"/>
      <c r="H16" s="277"/>
    </row>
    <row r="17" spans="1:14">
      <c r="A17" s="9" t="s">
        <v>0</v>
      </c>
      <c r="B17" s="9"/>
    </row>
    <row r="18" spans="1:14">
      <c r="A18" s="11" t="s">
        <v>1</v>
      </c>
      <c r="B18" s="302"/>
      <c r="C18" s="302"/>
      <c r="D18" s="103"/>
      <c r="E18" s="103"/>
    </row>
    <row r="19" spans="1:14">
      <c r="A19" s="11" t="s">
        <v>2</v>
      </c>
      <c r="B19" s="104"/>
    </row>
    <row r="20" spans="1:14">
      <c r="A20" s="11" t="s">
        <v>3</v>
      </c>
      <c r="B20" s="104"/>
    </row>
    <row r="21" spans="1:14">
      <c r="A21" s="11" t="s">
        <v>4</v>
      </c>
      <c r="B21" s="129"/>
      <c r="C21" s="129"/>
      <c r="D21" s="129"/>
      <c r="E21" s="129"/>
      <c r="F21" s="129"/>
      <c r="G21" s="129"/>
      <c r="H21" s="129"/>
      <c r="I21" s="129"/>
    </row>
    <row r="22" spans="1:14">
      <c r="A22" s="11" t="s">
        <v>17</v>
      </c>
      <c r="B22" s="105"/>
    </row>
    <row r="23" spans="1:14">
      <c r="A23" s="11" t="s">
        <v>5</v>
      </c>
      <c r="B23" s="105"/>
    </row>
    <row r="24" spans="1:14">
      <c r="A24" s="11"/>
      <c r="B24" s="14"/>
    </row>
    <row r="25" spans="1:14">
      <c r="A25" s="15" t="s">
        <v>7</v>
      </c>
      <c r="B25" s="14"/>
    </row>
    <row r="26" spans="1:14" ht="26.25">
      <c r="A26" s="16" t="s">
        <v>9</v>
      </c>
      <c r="B26" s="309" t="s">
        <v>42</v>
      </c>
      <c r="C26" s="309"/>
    </row>
    <row r="27" spans="1:14" ht="26.25">
      <c r="A27" s="18" t="s">
        <v>27</v>
      </c>
      <c r="B27" s="237" t="s">
        <v>18</v>
      </c>
    </row>
    <row r="28" spans="1:14" ht="27" thickBot="1">
      <c r="A28" s="18" t="s">
        <v>10</v>
      </c>
      <c r="B28" s="238">
        <v>85.3</v>
      </c>
    </row>
    <row r="29" spans="1:14" s="20" customFormat="1" ht="27" thickBot="1">
      <c r="A29" s="18" t="s">
        <v>29</v>
      </c>
      <c r="B29" s="237">
        <v>0</v>
      </c>
      <c r="C29" s="281" t="s">
        <v>36</v>
      </c>
      <c r="D29" s="282"/>
      <c r="E29" s="282"/>
      <c r="F29" s="282"/>
      <c r="G29" s="283"/>
      <c r="I29" s="21"/>
      <c r="J29" s="21"/>
      <c r="K29" s="21"/>
      <c r="L29" s="21"/>
    </row>
    <row r="30" spans="1:14" s="20" customFormat="1" ht="19.5" thickBot="1">
      <c r="A30" s="18" t="s">
        <v>28</v>
      </c>
      <c r="B30" s="17">
        <f>B28-B29</f>
        <v>85.3</v>
      </c>
      <c r="C30" s="22"/>
      <c r="D30" s="22"/>
      <c r="E30" s="22"/>
      <c r="F30" s="22"/>
      <c r="G30" s="23"/>
      <c r="I30" s="21"/>
      <c r="J30" s="21"/>
      <c r="K30" s="21"/>
      <c r="L30" s="21"/>
    </row>
    <row r="31" spans="1:14" s="20" customFormat="1" ht="27" thickBot="1">
      <c r="A31" s="18" t="s">
        <v>37</v>
      </c>
      <c r="B31" s="239">
        <v>1</v>
      </c>
      <c r="C31" s="286" t="s">
        <v>109</v>
      </c>
      <c r="D31" s="287"/>
      <c r="E31" s="287"/>
      <c r="F31" s="287"/>
      <c r="G31" s="287"/>
      <c r="H31" s="288"/>
      <c r="I31" s="21"/>
      <c r="J31" s="21"/>
      <c r="K31" s="21"/>
      <c r="L31" s="21"/>
    </row>
    <row r="32" spans="1:14" s="20" customFormat="1" ht="27" thickBot="1">
      <c r="A32" s="18" t="s">
        <v>38</v>
      </c>
      <c r="B32" s="239">
        <v>1</v>
      </c>
      <c r="C32" s="286" t="s">
        <v>110</v>
      </c>
      <c r="D32" s="287"/>
      <c r="E32" s="287"/>
      <c r="F32" s="287"/>
      <c r="G32" s="287"/>
      <c r="H32" s="288"/>
      <c r="I32" s="21"/>
      <c r="J32" s="21"/>
      <c r="K32" s="21"/>
      <c r="L32" s="25"/>
      <c r="M32" s="25"/>
      <c r="N32" s="26"/>
    </row>
    <row r="33" spans="1:14" s="20" customFormat="1" ht="17.25" customHeight="1">
      <c r="A33" s="18"/>
      <c r="B33" s="24"/>
      <c r="C33" s="27"/>
      <c r="D33" s="27"/>
      <c r="E33" s="27"/>
      <c r="F33" s="27"/>
      <c r="G33" s="27"/>
      <c r="H33" s="27"/>
      <c r="I33" s="21"/>
      <c r="J33" s="21"/>
      <c r="K33" s="21"/>
      <c r="L33" s="25"/>
      <c r="M33" s="25"/>
      <c r="N33" s="26"/>
    </row>
    <row r="34" spans="1:14" s="20" customFormat="1">
      <c r="A34" s="18" t="s">
        <v>31</v>
      </c>
      <c r="B34" s="28">
        <f>B31/B32</f>
        <v>1</v>
      </c>
      <c r="C34" s="10" t="s">
        <v>32</v>
      </c>
      <c r="D34" s="10"/>
      <c r="E34" s="10"/>
      <c r="F34" s="10"/>
      <c r="G34" s="10"/>
      <c r="I34" s="21"/>
      <c r="J34" s="21"/>
      <c r="K34" s="21"/>
      <c r="L34" s="25"/>
      <c r="M34" s="25"/>
      <c r="N34" s="26"/>
    </row>
    <row r="35" spans="1:14" s="20" customFormat="1" ht="19.5" thickBot="1">
      <c r="A35" s="18"/>
      <c r="B35" s="17"/>
      <c r="G35" s="10"/>
      <c r="I35" s="21"/>
      <c r="J35" s="21"/>
      <c r="K35" s="21"/>
      <c r="L35" s="25"/>
      <c r="M35" s="25"/>
      <c r="N35" s="26"/>
    </row>
    <row r="36" spans="1:14" s="20" customFormat="1" ht="27" thickBot="1">
      <c r="A36" s="29" t="s">
        <v>40</v>
      </c>
      <c r="B36" s="240">
        <v>50</v>
      </c>
      <c r="C36" s="10"/>
      <c r="D36" s="284" t="s">
        <v>15</v>
      </c>
      <c r="E36" s="296"/>
      <c r="F36" s="284" t="s">
        <v>16</v>
      </c>
      <c r="G36" s="285"/>
      <c r="J36" s="21"/>
      <c r="K36" s="21"/>
      <c r="L36" s="25"/>
      <c r="M36" s="25"/>
      <c r="N36" s="26"/>
    </row>
    <row r="37" spans="1:14" s="20" customFormat="1" ht="26.25">
      <c r="A37" s="30" t="s">
        <v>47</v>
      </c>
      <c r="B37" s="241">
        <v>1</v>
      </c>
      <c r="C37" s="32" t="s">
        <v>19</v>
      </c>
      <c r="D37" s="33" t="s">
        <v>46</v>
      </c>
      <c r="E37" s="90" t="s">
        <v>68</v>
      </c>
      <c r="F37" s="33" t="s">
        <v>46</v>
      </c>
      <c r="G37" s="34" t="s">
        <v>68</v>
      </c>
      <c r="J37" s="21"/>
      <c r="K37" s="21"/>
      <c r="L37" s="25"/>
      <c r="M37" s="25"/>
      <c r="N37" s="26"/>
    </row>
    <row r="38" spans="1:14" s="20" customFormat="1" ht="26.25">
      <c r="A38" s="30" t="s">
        <v>48</v>
      </c>
      <c r="B38" s="241">
        <v>1</v>
      </c>
      <c r="C38" s="35">
        <v>1</v>
      </c>
      <c r="D38" s="242">
        <v>204740636</v>
      </c>
      <c r="E38" s="106">
        <f>IF(ISBLANK(D38),"-",$D$48/$D$45*D38)</f>
        <v>222409370.14696312</v>
      </c>
      <c r="F38" s="242">
        <v>208454869</v>
      </c>
      <c r="G38" s="109">
        <f>IF(ISBLANK(F38),"-",$D$48/$F$45*F38)</f>
        <v>221920187.03671452</v>
      </c>
      <c r="J38" s="21"/>
      <c r="K38" s="21"/>
      <c r="L38" s="25"/>
      <c r="M38" s="25"/>
      <c r="N38" s="26"/>
    </row>
    <row r="39" spans="1:14" s="20" customFormat="1" ht="26.25">
      <c r="A39" s="30" t="s">
        <v>49</v>
      </c>
      <c r="B39" s="241">
        <v>1</v>
      </c>
      <c r="C39" s="31">
        <v>2</v>
      </c>
      <c r="D39" s="243">
        <v>204713624</v>
      </c>
      <c r="E39" s="107">
        <f>IF(ISBLANK(D39),"-",$D$48/$D$45*D39)</f>
        <v>222380027.06185904</v>
      </c>
      <c r="F39" s="243">
        <v>207357270</v>
      </c>
      <c r="G39" s="110">
        <f>IF(ISBLANK(F39),"-",$D$48/$F$45*F39)</f>
        <v>220751687.70379028</v>
      </c>
      <c r="J39" s="21"/>
      <c r="K39" s="21"/>
      <c r="L39" s="25"/>
      <c r="M39" s="25"/>
      <c r="N39" s="26"/>
    </row>
    <row r="40" spans="1:14" ht="26.25">
      <c r="A40" s="30" t="s">
        <v>50</v>
      </c>
      <c r="B40" s="241">
        <v>1</v>
      </c>
      <c r="C40" s="31">
        <v>3</v>
      </c>
      <c r="D40" s="243">
        <v>204746485</v>
      </c>
      <c r="E40" s="107">
        <f>IF(ISBLANK(D40),"-",$D$48/$D$45*D40)</f>
        <v>222415723.90472907</v>
      </c>
      <c r="F40" s="243">
        <v>208112760</v>
      </c>
      <c r="G40" s="110">
        <f>IF(ISBLANK(F40),"-",$D$48/$F$45*F40)</f>
        <v>221555979.2173858</v>
      </c>
      <c r="L40" s="25"/>
      <c r="M40" s="25"/>
      <c r="N40" s="37"/>
    </row>
    <row r="41" spans="1:14" ht="26.25">
      <c r="A41" s="30" t="s">
        <v>51</v>
      </c>
      <c r="B41" s="241">
        <v>1</v>
      </c>
      <c r="C41" s="38">
        <v>4</v>
      </c>
      <c r="D41" s="244"/>
      <c r="E41" s="108" t="str">
        <f>IF(ISBLANK(D41),"-",$D$48/$D$45*D41)</f>
        <v>-</v>
      </c>
      <c r="F41" s="244"/>
      <c r="G41" s="111" t="str">
        <f>IF(ISBLANK(F41),"-",$D$48/$F$45*F41)</f>
        <v>-</v>
      </c>
      <c r="L41" s="25"/>
      <c r="M41" s="25"/>
      <c r="N41" s="37"/>
    </row>
    <row r="42" spans="1:14" ht="27" thickBot="1">
      <c r="A42" s="30" t="s">
        <v>52</v>
      </c>
      <c r="B42" s="241">
        <v>1</v>
      </c>
      <c r="C42" s="40" t="s">
        <v>12</v>
      </c>
      <c r="D42" s="181">
        <f>AVERAGE(D38:D41)</f>
        <v>204733581.66666666</v>
      </c>
      <c r="E42" s="65">
        <f>AVERAGE(E38:E41)</f>
        <v>222401707.03785038</v>
      </c>
      <c r="F42" s="41">
        <f>AVERAGE(F38:F41)</f>
        <v>207974966.33333334</v>
      </c>
      <c r="G42" s="42">
        <f>AVERAGE(G38:G41)</f>
        <v>221409284.65263021</v>
      </c>
      <c r="H42" s="126"/>
    </row>
    <row r="43" spans="1:14" ht="26.25">
      <c r="A43" s="30" t="s">
        <v>53</v>
      </c>
      <c r="B43" s="238">
        <v>1</v>
      </c>
      <c r="C43" s="182" t="s">
        <v>20</v>
      </c>
      <c r="D43" s="245">
        <v>26.98</v>
      </c>
      <c r="E43" s="37"/>
      <c r="F43" s="246">
        <v>27.53</v>
      </c>
      <c r="H43" s="126"/>
    </row>
    <row r="44" spans="1:14" ht="26.25">
      <c r="A44" s="30" t="s">
        <v>54</v>
      </c>
      <c r="B44" s="238">
        <v>1</v>
      </c>
      <c r="C44" s="183" t="s">
        <v>33</v>
      </c>
      <c r="D44" s="184">
        <f>D43*$B$34</f>
        <v>26.98</v>
      </c>
      <c r="E44" s="44"/>
      <c r="F44" s="43">
        <f>F43*$B$34</f>
        <v>27.53</v>
      </c>
      <c r="H44" s="126"/>
    </row>
    <row r="45" spans="1:14" ht="19.5" thickBot="1">
      <c r="A45" s="30" t="s">
        <v>39</v>
      </c>
      <c r="B45" s="180">
        <f>(B44/B43)*(B42/B41)*(B40/B39)*(B38/B37)*B36</f>
        <v>50</v>
      </c>
      <c r="C45" s="183" t="s">
        <v>112</v>
      </c>
      <c r="D45" s="185">
        <f>D44*$B$30/100</f>
        <v>23.013939999999998</v>
      </c>
      <c r="E45" s="46"/>
      <c r="F45" s="45">
        <f>F44*$B$30/100</f>
        <v>23.483090000000001</v>
      </c>
      <c r="H45" s="126"/>
    </row>
    <row r="46" spans="1:14" ht="19.5" thickBot="1">
      <c r="A46" s="297" t="s">
        <v>34</v>
      </c>
      <c r="B46" s="303"/>
      <c r="C46" s="183" t="s">
        <v>111</v>
      </c>
      <c r="D46" s="184">
        <f>D45/$B$45</f>
        <v>0.46027879999999999</v>
      </c>
      <c r="E46" s="46"/>
      <c r="F46" s="47">
        <f>F45/$B$45</f>
        <v>0.46966180000000002</v>
      </c>
      <c r="H46" s="126"/>
    </row>
    <row r="47" spans="1:14" ht="27" thickBot="1">
      <c r="A47" s="299"/>
      <c r="B47" s="304"/>
      <c r="C47" s="183" t="s">
        <v>70</v>
      </c>
      <c r="D47" s="247">
        <v>0.5</v>
      </c>
      <c r="F47" s="49"/>
      <c r="H47" s="126"/>
    </row>
    <row r="48" spans="1:14">
      <c r="C48" s="183" t="s">
        <v>89</v>
      </c>
      <c r="D48" s="184">
        <f>D47*$B$45</f>
        <v>25</v>
      </c>
      <c r="F48" s="49"/>
      <c r="H48" s="126"/>
    </row>
    <row r="49" spans="1:12" ht="19.5" thickBot="1">
      <c r="C49" s="186" t="s">
        <v>90</v>
      </c>
      <c r="D49" s="187">
        <f>D48/B34</f>
        <v>25</v>
      </c>
      <c r="F49" s="52"/>
      <c r="H49" s="126"/>
    </row>
    <row r="50" spans="1:12">
      <c r="C50" s="188" t="s">
        <v>69</v>
      </c>
      <c r="D50" s="189">
        <f>AVERAGE(E38:E41,G38:G41)</f>
        <v>221905495.84524027</v>
      </c>
      <c r="F50" s="52"/>
      <c r="H50" s="126"/>
    </row>
    <row r="51" spans="1:12">
      <c r="C51" s="48" t="s">
        <v>35</v>
      </c>
      <c r="D51" s="53">
        <f>STDEV(E38:E41,G38:G41)/D50</f>
        <v>2.9844993084180461E-3</v>
      </c>
      <c r="F51" s="52"/>
    </row>
    <row r="52" spans="1:12" ht="19.5" thickBot="1">
      <c r="C52" s="50" t="s">
        <v>6</v>
      </c>
      <c r="D52" s="54">
        <f>COUNT(E38:E41,G38:G41)</f>
        <v>6</v>
      </c>
      <c r="F52" s="52"/>
    </row>
    <row r="54" spans="1:12">
      <c r="A54" s="9" t="s">
        <v>7</v>
      </c>
      <c r="B54" s="55" t="s">
        <v>67</v>
      </c>
    </row>
    <row r="55" spans="1:12">
      <c r="A55" s="10" t="s">
        <v>8</v>
      </c>
      <c r="B55" s="13">
        <f>B21</f>
        <v>0</v>
      </c>
    </row>
    <row r="56" spans="1:12" ht="26.25">
      <c r="A56" s="12" t="s">
        <v>41</v>
      </c>
      <c r="B56" s="237">
        <v>250</v>
      </c>
      <c r="C56" s="10">
        <f>B20</f>
        <v>0</v>
      </c>
      <c r="H56" s="19"/>
    </row>
    <row r="57" spans="1:12">
      <c r="A57" s="13" t="s">
        <v>13</v>
      </c>
      <c r="B57" s="130">
        <f>Uniformity!C46</f>
        <v>248.43350000000001</v>
      </c>
      <c r="H57" s="19"/>
    </row>
    <row r="58" spans="1:12" ht="19.5" thickBot="1">
      <c r="H58" s="19"/>
    </row>
    <row r="59" spans="1:12" s="20" customFormat="1" ht="27" thickBot="1">
      <c r="A59" s="29" t="s">
        <v>30</v>
      </c>
      <c r="B59" s="240">
        <v>100</v>
      </c>
      <c r="C59" s="10"/>
      <c r="D59" s="57" t="s">
        <v>43</v>
      </c>
      <c r="E59" s="56" t="s">
        <v>21</v>
      </c>
      <c r="F59" s="56" t="s">
        <v>46</v>
      </c>
      <c r="G59" s="56" t="s">
        <v>91</v>
      </c>
      <c r="H59" s="32" t="s">
        <v>44</v>
      </c>
      <c r="L59" s="21"/>
    </row>
    <row r="60" spans="1:12" s="20" customFormat="1" ht="22.5" customHeight="1">
      <c r="A60" s="30" t="s">
        <v>55</v>
      </c>
      <c r="B60" s="241">
        <v>25</v>
      </c>
      <c r="C60" s="289" t="s">
        <v>22</v>
      </c>
      <c r="D60" s="293">
        <v>287.3</v>
      </c>
      <c r="E60" s="58">
        <v>1</v>
      </c>
      <c r="F60" s="249">
        <v>225221861</v>
      </c>
      <c r="G60" s="94">
        <f>IF(ISBLANK(F60),"-",(F60/$D$50*$D$47*$B$68)*($B$57/$D$60))</f>
        <v>87.764122758383607</v>
      </c>
      <c r="H60" s="96">
        <f>IF(ISBLANK(F60),"-",G60/$B$56)</f>
        <v>0.35105649103353442</v>
      </c>
      <c r="L60" s="21"/>
    </row>
    <row r="61" spans="1:12" s="20" customFormat="1" ht="26.25">
      <c r="A61" s="30" t="s">
        <v>56</v>
      </c>
      <c r="B61" s="241">
        <v>50</v>
      </c>
      <c r="C61" s="290"/>
      <c r="D61" s="294"/>
      <c r="E61" s="59">
        <v>2</v>
      </c>
      <c r="F61" s="243">
        <v>225522758</v>
      </c>
      <c r="G61" s="95">
        <f>IF(ISBLANK(F61),"-",(F61/$D$50*$D$47*$B$68)*($B$57/$D$60))</f>
        <v>87.881375857742498</v>
      </c>
      <c r="H61" s="97">
        <f t="shared" ref="H61:H71" si="0">IF(ISBLANK(F61),"-",G61/$B$56)</f>
        <v>0.35152550343097</v>
      </c>
      <c r="L61" s="21"/>
    </row>
    <row r="62" spans="1:12" s="20" customFormat="1" ht="26.25">
      <c r="A62" s="30" t="s">
        <v>57</v>
      </c>
      <c r="B62" s="241">
        <v>1</v>
      </c>
      <c r="C62" s="290"/>
      <c r="D62" s="294"/>
      <c r="E62" s="59">
        <v>3</v>
      </c>
      <c r="F62" s="243">
        <v>226051930</v>
      </c>
      <c r="G62" s="95">
        <f>IF(ISBLANK(F62),"-",(F62/$D$50*$D$47*$B$68)*($B$57/$D$60))</f>
        <v>88.087582822564173</v>
      </c>
      <c r="H62" s="97">
        <f t="shared" si="0"/>
        <v>0.35235033129025667</v>
      </c>
      <c r="L62" s="21"/>
    </row>
    <row r="63" spans="1:12" ht="21" customHeight="1" thickBot="1">
      <c r="A63" s="30" t="s">
        <v>58</v>
      </c>
      <c r="B63" s="241">
        <v>1</v>
      </c>
      <c r="C63" s="291"/>
      <c r="D63" s="295"/>
      <c r="E63" s="60">
        <v>4</v>
      </c>
      <c r="F63" s="250"/>
      <c r="G63" s="95" t="str">
        <f>IF(ISBLANK(F63),"-",(F63/$D$50*$D$47*$B$68)*($B$57/$D$60))</f>
        <v>-</v>
      </c>
      <c r="H63" s="97" t="str">
        <f t="shared" si="0"/>
        <v>-</v>
      </c>
    </row>
    <row r="64" spans="1:12" ht="26.25">
      <c r="A64" s="30" t="s">
        <v>59</v>
      </c>
      <c r="B64" s="241">
        <v>1</v>
      </c>
      <c r="C64" s="289" t="s">
        <v>23</v>
      </c>
      <c r="D64" s="293">
        <v>283.76</v>
      </c>
      <c r="E64" s="58">
        <v>1</v>
      </c>
      <c r="F64" s="249">
        <v>222533090</v>
      </c>
      <c r="G64" s="122">
        <f>IF(ISBLANK(F64),"-",(F64/$D$50*$D$47*$B$68)*($B$57/$D$64))</f>
        <v>87.798181836556111</v>
      </c>
      <c r="H64" s="119">
        <f t="shared" si="0"/>
        <v>0.35119272734622442</v>
      </c>
    </row>
    <row r="65" spans="1:8" ht="26.25">
      <c r="A65" s="30" t="s">
        <v>60</v>
      </c>
      <c r="B65" s="241">
        <v>1</v>
      </c>
      <c r="C65" s="290"/>
      <c r="D65" s="294"/>
      <c r="E65" s="59">
        <v>2</v>
      </c>
      <c r="F65" s="243">
        <v>222219107</v>
      </c>
      <c r="G65" s="123">
        <f>IF(ISBLANK(F65),"-",(F65/$D$50*$D$47*$B$68)*($B$57/$D$64))</f>
        <v>87.67430301688222</v>
      </c>
      <c r="H65" s="120">
        <f t="shared" si="0"/>
        <v>0.35069721206752891</v>
      </c>
    </row>
    <row r="66" spans="1:8" ht="26.25">
      <c r="A66" s="30" t="s">
        <v>61</v>
      </c>
      <c r="B66" s="241">
        <v>1</v>
      </c>
      <c r="C66" s="290"/>
      <c r="D66" s="294"/>
      <c r="E66" s="59">
        <v>3</v>
      </c>
      <c r="F66" s="243">
        <v>222118606</v>
      </c>
      <c r="G66" s="123">
        <f>IF(ISBLANK(F66),"-",(F66/$D$50*$D$47*$B$68)*($B$57/$D$64))</f>
        <v>87.634651362951757</v>
      </c>
      <c r="H66" s="120">
        <f t="shared" si="0"/>
        <v>0.35053860545180704</v>
      </c>
    </row>
    <row r="67" spans="1:8" ht="21" customHeight="1" thickBot="1">
      <c r="A67" s="30" t="s">
        <v>62</v>
      </c>
      <c r="B67" s="241">
        <v>1</v>
      </c>
      <c r="C67" s="291"/>
      <c r="D67" s="295"/>
      <c r="E67" s="60">
        <v>4</v>
      </c>
      <c r="F67" s="250"/>
      <c r="G67" s="124" t="str">
        <f>IF(ISBLANK(F67),"-",(F67/$D$50*$D$47*$B$68)*($B$57/$D$64))</f>
        <v>-</v>
      </c>
      <c r="H67" s="121" t="str">
        <f t="shared" si="0"/>
        <v>-</v>
      </c>
    </row>
    <row r="68" spans="1:8" ht="21.75" customHeight="1">
      <c r="A68" s="30" t="s">
        <v>26</v>
      </c>
      <c r="B68" s="132">
        <f>(B67/B66)*(B65/B64)*(B63/B62)*(B61/B60)*B59</f>
        <v>200</v>
      </c>
      <c r="C68" s="289" t="s">
        <v>24</v>
      </c>
      <c r="D68" s="293">
        <v>286.77999999999997</v>
      </c>
      <c r="E68" s="58">
        <v>1</v>
      </c>
      <c r="F68" s="249">
        <v>226289106</v>
      </c>
      <c r="G68" s="122">
        <f>IF(ISBLANK(F68),"-",(F68/$D$50*$D$47*$B$68)*($B$57/$D$68))</f>
        <v>88.33989643184583</v>
      </c>
      <c r="H68" s="97">
        <f t="shared" si="0"/>
        <v>0.3533595857273833</v>
      </c>
    </row>
    <row r="69" spans="1:8" ht="21.75" customHeight="1" thickBot="1">
      <c r="A69" s="190" t="s">
        <v>92</v>
      </c>
      <c r="B69" s="248">
        <f>D47*B68/B56*B57</f>
        <v>99.373400000000004</v>
      </c>
      <c r="C69" s="290"/>
      <c r="D69" s="294"/>
      <c r="E69" s="59">
        <v>2</v>
      </c>
      <c r="F69" s="243">
        <v>226394200</v>
      </c>
      <c r="G69" s="123">
        <f>IF(ISBLANK(F69),"-",(F69/$D$50*$D$47*$B$68)*($B$57/$D$68))</f>
        <v>88.380923564082622</v>
      </c>
      <c r="H69" s="97">
        <f t="shared" si="0"/>
        <v>0.35352369425633051</v>
      </c>
    </row>
    <row r="70" spans="1:8" ht="22.5" customHeight="1">
      <c r="A70" s="305" t="s">
        <v>34</v>
      </c>
      <c r="B70" s="306"/>
      <c r="C70" s="290"/>
      <c r="D70" s="294"/>
      <c r="E70" s="59">
        <v>3</v>
      </c>
      <c r="F70" s="243">
        <v>226217531</v>
      </c>
      <c r="G70" s="123">
        <f>IF(ISBLANK(F70),"-",(F70/$D$50*$D$47*$B$68)*($B$57/$D$68))</f>
        <v>88.311954617947322</v>
      </c>
      <c r="H70" s="97">
        <f t="shared" si="0"/>
        <v>0.35324781847178927</v>
      </c>
    </row>
    <row r="71" spans="1:8" ht="21.75" customHeight="1" thickBot="1">
      <c r="A71" s="307"/>
      <c r="B71" s="308"/>
      <c r="C71" s="292"/>
      <c r="D71" s="295"/>
      <c r="E71" s="60">
        <v>4</v>
      </c>
      <c r="F71" s="250"/>
      <c r="G71" s="124" t="str">
        <f>IF(ISBLANK(F71),"-",(F71/$D$50*$D$47*$B$68)*($B$57/$D$68))</f>
        <v>-</v>
      </c>
      <c r="H71" s="98" t="str">
        <f t="shared" si="0"/>
        <v>-</v>
      </c>
    </row>
    <row r="72" spans="1:8" ht="26.25">
      <c r="A72" s="61"/>
      <c r="B72" s="61"/>
      <c r="C72" s="61"/>
      <c r="D72" s="61"/>
      <c r="E72" s="61"/>
      <c r="F72" s="62"/>
      <c r="G72" s="51" t="s">
        <v>12</v>
      </c>
      <c r="H72" s="251">
        <f>AVERAGE(H60:H71)</f>
        <v>0.35194355211953604</v>
      </c>
    </row>
    <row r="73" spans="1:8" ht="26.25">
      <c r="C73" s="61"/>
      <c r="D73" s="61"/>
      <c r="E73" s="61"/>
      <c r="F73" s="62"/>
      <c r="G73" s="48" t="s">
        <v>35</v>
      </c>
      <c r="H73" s="252">
        <f>STDEV(H60:H71)/H72</f>
        <v>3.3949848589717975E-3</v>
      </c>
    </row>
    <row r="74" spans="1:8" ht="27" thickBot="1">
      <c r="A74" s="61"/>
      <c r="B74" s="61"/>
      <c r="C74" s="62"/>
      <c r="D74" s="62"/>
      <c r="E74" s="63"/>
      <c r="F74" s="62"/>
      <c r="G74" s="50" t="s">
        <v>6</v>
      </c>
      <c r="H74" s="253">
        <f>COUNT(H60:H71)</f>
        <v>9</v>
      </c>
    </row>
    <row r="75" spans="1:8">
      <c r="A75" s="61"/>
      <c r="B75" s="61"/>
      <c r="C75" s="62"/>
      <c r="D75" s="62"/>
      <c r="E75" s="63"/>
      <c r="F75" s="62"/>
      <c r="G75" s="83"/>
      <c r="H75" s="179"/>
    </row>
    <row r="76" spans="1:8">
      <c r="A76" s="16" t="s">
        <v>94</v>
      </c>
      <c r="B76" s="196" t="s">
        <v>95</v>
      </c>
      <c r="C76" s="301">
        <f>B20</f>
        <v>0</v>
      </c>
      <c r="D76" s="301"/>
      <c r="E76" s="197" t="s">
        <v>100</v>
      </c>
      <c r="F76" s="197"/>
      <c r="G76" s="198">
        <f>H72</f>
        <v>0.35194355211953604</v>
      </c>
      <c r="H76" s="179"/>
    </row>
    <row r="77" spans="1:8">
      <c r="A77" s="61"/>
      <c r="B77" s="61"/>
      <c r="C77" s="62"/>
      <c r="D77" s="62"/>
      <c r="E77" s="63"/>
      <c r="F77" s="62"/>
      <c r="G77" s="83"/>
      <c r="H77" s="179"/>
    </row>
    <row r="78" spans="1:8" ht="26.25">
      <c r="A78" s="15" t="s">
        <v>93</v>
      </c>
      <c r="B78" s="15" t="s">
        <v>97</v>
      </c>
      <c r="D78" s="257" t="s">
        <v>99</v>
      </c>
    </row>
    <row r="79" spans="1:8">
      <c r="A79" s="15"/>
      <c r="B79" s="15"/>
    </row>
    <row r="80" spans="1:8" ht="26.25">
      <c r="A80" s="16" t="s">
        <v>9</v>
      </c>
      <c r="B80" s="309" t="str">
        <f>B26</f>
        <v>USP Amoxicillin RS</v>
      </c>
      <c r="C80" s="309"/>
    </row>
    <row r="81" spans="1:12" ht="26.25">
      <c r="A81" s="18" t="s">
        <v>27</v>
      </c>
      <c r="B81" s="237" t="str">
        <f>B27</f>
        <v>F0J018</v>
      </c>
    </row>
    <row r="82" spans="1:12" ht="27" thickBot="1">
      <c r="A82" s="18" t="s">
        <v>10</v>
      </c>
      <c r="B82" s="237">
        <f>B28</f>
        <v>85.3</v>
      </c>
    </row>
    <row r="83" spans="1:12" s="20" customFormat="1" ht="27" thickBot="1">
      <c r="A83" s="18" t="s">
        <v>29</v>
      </c>
      <c r="B83" s="237">
        <f>B29</f>
        <v>0</v>
      </c>
      <c r="C83" s="281" t="s">
        <v>36</v>
      </c>
      <c r="D83" s="282"/>
      <c r="E83" s="282"/>
      <c r="F83" s="282"/>
      <c r="G83" s="283"/>
      <c r="I83" s="21"/>
      <c r="J83" s="21"/>
      <c r="K83" s="21"/>
      <c r="L83" s="21"/>
    </row>
    <row r="84" spans="1:12" s="20" customFormat="1" ht="19.5" thickBot="1">
      <c r="A84" s="18" t="s">
        <v>28</v>
      </c>
      <c r="B84" s="17">
        <f>B82-B83</f>
        <v>85.3</v>
      </c>
      <c r="C84" s="22"/>
      <c r="D84" s="22"/>
      <c r="E84" s="22"/>
      <c r="F84" s="22"/>
      <c r="G84" s="23"/>
      <c r="I84" s="21"/>
      <c r="J84" s="21"/>
      <c r="K84" s="21"/>
      <c r="L84" s="21"/>
    </row>
    <row r="85" spans="1:12" s="20" customFormat="1" ht="27" thickBot="1">
      <c r="A85" s="18" t="s">
        <v>37</v>
      </c>
      <c r="B85" s="239">
        <v>1</v>
      </c>
      <c r="C85" s="286" t="s">
        <v>109</v>
      </c>
      <c r="D85" s="287"/>
      <c r="E85" s="287"/>
      <c r="F85" s="287"/>
      <c r="G85" s="287"/>
      <c r="H85" s="288"/>
      <c r="I85" s="21"/>
      <c r="J85" s="21"/>
      <c r="K85" s="21"/>
      <c r="L85" s="21"/>
    </row>
    <row r="86" spans="1:12" s="20" customFormat="1" ht="27" thickBot="1">
      <c r="A86" s="18" t="s">
        <v>38</v>
      </c>
      <c r="B86" s="239">
        <v>1</v>
      </c>
      <c r="C86" s="286" t="s">
        <v>110</v>
      </c>
      <c r="D86" s="287"/>
      <c r="E86" s="287"/>
      <c r="F86" s="287"/>
      <c r="G86" s="287"/>
      <c r="H86" s="288"/>
      <c r="I86" s="21"/>
      <c r="J86" s="21"/>
      <c r="K86" s="21"/>
      <c r="L86" s="21"/>
    </row>
    <row r="87" spans="1:12" s="20" customFormat="1">
      <c r="A87" s="18"/>
      <c r="B87" s="17"/>
      <c r="C87" s="22"/>
      <c r="D87" s="22"/>
      <c r="E87" s="22"/>
      <c r="F87" s="22"/>
      <c r="G87" s="23"/>
      <c r="I87" s="21"/>
      <c r="J87" s="21"/>
      <c r="K87" s="21"/>
      <c r="L87" s="21"/>
    </row>
    <row r="88" spans="1:12" s="20" customFormat="1">
      <c r="A88" s="18" t="s">
        <v>31</v>
      </c>
      <c r="B88" s="28">
        <f>B85/B86</f>
        <v>1</v>
      </c>
      <c r="C88" s="10" t="s">
        <v>32</v>
      </c>
      <c r="D88" s="22"/>
      <c r="E88" s="22"/>
      <c r="F88" s="22"/>
      <c r="G88" s="23"/>
      <c r="I88" s="21"/>
      <c r="J88" s="21"/>
      <c r="K88" s="21"/>
      <c r="L88" s="21"/>
    </row>
    <row r="89" spans="1:12" ht="19.5" thickBot="1">
      <c r="A89" s="15"/>
      <c r="B89" s="15"/>
    </row>
    <row r="90" spans="1:12" ht="27" thickBot="1">
      <c r="A90" s="29" t="s">
        <v>40</v>
      </c>
      <c r="B90" s="240">
        <v>50</v>
      </c>
      <c r="D90" s="92" t="s">
        <v>15</v>
      </c>
      <c r="E90" s="93"/>
      <c r="F90" s="284" t="s">
        <v>16</v>
      </c>
      <c r="G90" s="285"/>
    </row>
    <row r="91" spans="1:12" ht="26.25">
      <c r="A91" s="30" t="s">
        <v>47</v>
      </c>
      <c r="B91" s="241">
        <v>1</v>
      </c>
      <c r="C91" s="89" t="s">
        <v>19</v>
      </c>
      <c r="D91" s="33" t="s">
        <v>46</v>
      </c>
      <c r="E91" s="90" t="s">
        <v>68</v>
      </c>
      <c r="F91" s="33" t="s">
        <v>46</v>
      </c>
      <c r="G91" s="34" t="s">
        <v>68</v>
      </c>
    </row>
    <row r="92" spans="1:12" ht="26.25">
      <c r="A92" s="30" t="s">
        <v>48</v>
      </c>
      <c r="B92" s="241">
        <v>1</v>
      </c>
      <c r="C92" s="87">
        <v>1</v>
      </c>
      <c r="D92" s="242">
        <v>191134937</v>
      </c>
      <c r="E92" s="106">
        <f>IF(ISBLANK(D92),"-",$D$102/$D$99*D92)</f>
        <v>122863635.08268943</v>
      </c>
      <c r="F92" s="242">
        <v>181602443</v>
      </c>
      <c r="G92" s="109">
        <f>IF(ISBLANK(F92),"-",$D$102/$F$99*F92)</f>
        <v>123410850.47851235</v>
      </c>
    </row>
    <row r="93" spans="1:12" ht="26.25">
      <c r="A93" s="30" t="s">
        <v>49</v>
      </c>
      <c r="B93" s="241">
        <v>1</v>
      </c>
      <c r="C93" s="62">
        <v>2</v>
      </c>
      <c r="D93" s="243">
        <v>191234849</v>
      </c>
      <c r="E93" s="107">
        <f>IF(ISBLANK(D93),"-",$D$102/$D$99*D93)</f>
        <v>122927859.61275733</v>
      </c>
      <c r="F93" s="243">
        <v>181706493</v>
      </c>
      <c r="G93" s="110">
        <f>IF(ISBLANK(F93),"-",$D$102/$F$99*F93)</f>
        <v>123481559.32350452</v>
      </c>
    </row>
    <row r="94" spans="1:12" ht="26.25">
      <c r="A94" s="30" t="s">
        <v>50</v>
      </c>
      <c r="B94" s="241">
        <v>1</v>
      </c>
      <c r="C94" s="62">
        <v>3</v>
      </c>
      <c r="D94" s="243">
        <v>191392158</v>
      </c>
      <c r="E94" s="107">
        <f>IF(ISBLANK(D94),"-",$D$102/$D$99*D94)</f>
        <v>123028979.56431921</v>
      </c>
      <c r="F94" s="243">
        <v>181742234</v>
      </c>
      <c r="G94" s="110">
        <f>IF(ISBLANK(F94),"-",$D$102/$F$99*F94)</f>
        <v>123505847.69283529</v>
      </c>
    </row>
    <row r="95" spans="1:12" ht="26.25">
      <c r="A95" s="30" t="s">
        <v>51</v>
      </c>
      <c r="B95" s="241">
        <v>1</v>
      </c>
      <c r="C95" s="91">
        <v>4</v>
      </c>
      <c r="D95" s="244"/>
      <c r="E95" s="108" t="str">
        <f>IF(ISBLANK(D95),"-",$D$102/$D$99*D95)</f>
        <v>-</v>
      </c>
      <c r="F95" s="254"/>
      <c r="G95" s="111" t="str">
        <f>IF(ISBLANK(F95),"-",$D$102/$F$99*F95)</f>
        <v>-</v>
      </c>
    </row>
    <row r="96" spans="1:12" ht="27" thickBot="1">
      <c r="A96" s="30" t="s">
        <v>52</v>
      </c>
      <c r="B96" s="241">
        <v>1</v>
      </c>
      <c r="C96" s="83" t="s">
        <v>12</v>
      </c>
      <c r="D96" s="191">
        <f>AVERAGE(D92:D95)</f>
        <v>191253981.33333334</v>
      </c>
      <c r="E96" s="65">
        <f>AVERAGE(E92:E95)</f>
        <v>122940158.08658867</v>
      </c>
      <c r="F96" s="88">
        <f>AVERAGE(F92:F95)</f>
        <v>181683723.33333334</v>
      </c>
      <c r="G96" s="112">
        <f>AVERAGE(G92:G95)</f>
        <v>123466085.83161737</v>
      </c>
    </row>
    <row r="97" spans="1:10" ht="26.25">
      <c r="A97" s="30" t="s">
        <v>53</v>
      </c>
      <c r="B97" s="238">
        <v>1</v>
      </c>
      <c r="C97" s="182" t="s">
        <v>20</v>
      </c>
      <c r="D97" s="245">
        <v>25.33</v>
      </c>
      <c r="E97" s="37"/>
      <c r="F97" s="246">
        <v>23.96</v>
      </c>
    </row>
    <row r="98" spans="1:10" ht="26.25">
      <c r="A98" s="30" t="s">
        <v>54</v>
      </c>
      <c r="B98" s="238">
        <v>1</v>
      </c>
      <c r="C98" s="183" t="s">
        <v>33</v>
      </c>
      <c r="D98" s="184">
        <f>D97*B88</f>
        <v>25.33</v>
      </c>
      <c r="E98" s="44"/>
      <c r="F98" s="43">
        <f>F97*B88</f>
        <v>23.96</v>
      </c>
    </row>
    <row r="99" spans="1:10" ht="19.5" thickBot="1">
      <c r="A99" s="30" t="s">
        <v>39</v>
      </c>
      <c r="B99" s="180">
        <f>(B98/B97)*(B96/B95)*(B94/B93)*(B92/B91)*B90</f>
        <v>50</v>
      </c>
      <c r="C99" s="183" t="s">
        <v>112</v>
      </c>
      <c r="D99" s="185">
        <f>D98*$B$84/100</f>
        <v>21.606489999999997</v>
      </c>
      <c r="E99" s="46"/>
      <c r="F99" s="45">
        <f>F98*$B$84/100</f>
        <v>20.43788</v>
      </c>
    </row>
    <row r="100" spans="1:10" ht="19.5" thickBot="1">
      <c r="A100" s="297" t="s">
        <v>34</v>
      </c>
      <c r="B100" s="303"/>
      <c r="C100" s="183" t="s">
        <v>111</v>
      </c>
      <c r="D100" s="184">
        <f>D99/$B$99</f>
        <v>0.43212979999999995</v>
      </c>
      <c r="E100" s="46"/>
      <c r="F100" s="47">
        <f>F99/$B$99</f>
        <v>0.4087576</v>
      </c>
      <c r="G100" s="125"/>
      <c r="H100" s="126"/>
    </row>
    <row r="101" spans="1:10" ht="19.5" thickBot="1">
      <c r="A101" s="299"/>
      <c r="B101" s="304"/>
      <c r="C101" s="183" t="s">
        <v>70</v>
      </c>
      <c r="D101" s="192">
        <f>$B$56/$B$117</f>
        <v>0.27777777777777779</v>
      </c>
      <c r="F101" s="49"/>
      <c r="G101" s="127"/>
      <c r="H101" s="126"/>
    </row>
    <row r="102" spans="1:10">
      <c r="C102" s="183" t="s">
        <v>89</v>
      </c>
      <c r="D102" s="184">
        <f>D101*$B$99</f>
        <v>13.888888888888889</v>
      </c>
      <c r="F102" s="49"/>
      <c r="G102" s="125"/>
      <c r="H102" s="126"/>
    </row>
    <row r="103" spans="1:10" ht="19.5" thickBot="1">
      <c r="C103" s="186" t="s">
        <v>90</v>
      </c>
      <c r="D103" s="193">
        <f>D102/B34</f>
        <v>13.888888888888889</v>
      </c>
      <c r="F103" s="52"/>
      <c r="G103" s="125"/>
      <c r="H103" s="126"/>
      <c r="J103" s="66"/>
    </row>
    <row r="104" spans="1:10">
      <c r="C104" s="188" t="s">
        <v>25</v>
      </c>
      <c r="D104" s="189">
        <f>AVERAGE(E92:E95,G92:G95)</f>
        <v>123203121.95910303</v>
      </c>
      <c r="F104" s="52"/>
      <c r="G104" s="128"/>
      <c r="H104" s="126"/>
      <c r="J104" s="68"/>
    </row>
    <row r="105" spans="1:10">
      <c r="C105" s="48" t="s">
        <v>35</v>
      </c>
      <c r="D105" s="67">
        <f>STDEV(E92:E95,G92:G95)/D104</f>
        <v>2.3904066925258508E-3</v>
      </c>
      <c r="F105" s="52"/>
      <c r="G105" s="125"/>
      <c r="H105" s="126"/>
      <c r="J105" s="68"/>
    </row>
    <row r="106" spans="1:10" ht="19.5" thickBot="1">
      <c r="C106" s="50" t="s">
        <v>6</v>
      </c>
      <c r="D106" s="69">
        <f>COUNT(E92:E95,G92:G95)</f>
        <v>6</v>
      </c>
      <c r="F106" s="52"/>
      <c r="G106" s="125"/>
      <c r="H106" s="126"/>
      <c r="J106" s="68"/>
    </row>
    <row r="107" spans="1:10" ht="19.5" thickBot="1">
      <c r="A107" s="9"/>
      <c r="B107" s="9"/>
      <c r="C107" s="9"/>
      <c r="D107" s="9"/>
      <c r="E107" s="9"/>
    </row>
    <row r="108" spans="1:10" ht="26.25">
      <c r="A108" s="29" t="s">
        <v>45</v>
      </c>
      <c r="B108" s="240">
        <v>900</v>
      </c>
      <c r="C108" s="70" t="s">
        <v>14</v>
      </c>
      <c r="D108" s="71" t="s">
        <v>46</v>
      </c>
      <c r="E108" s="72" t="s">
        <v>71</v>
      </c>
      <c r="F108" s="73" t="s">
        <v>72</v>
      </c>
    </row>
    <row r="109" spans="1:10" ht="26.25">
      <c r="A109" s="30" t="s">
        <v>55</v>
      </c>
      <c r="B109" s="241">
        <v>1</v>
      </c>
      <c r="C109" s="36">
        <v>1</v>
      </c>
      <c r="D109" s="255">
        <v>97763407</v>
      </c>
      <c r="E109" s="74">
        <f>IF(ISBLANK(D109),"-",D109/$D$104*$D$101*$B$117)</f>
        <v>198.37850990588601</v>
      </c>
      <c r="F109" s="75">
        <f>IF(ISBLANK(D109), "-", E109/$B$56)</f>
        <v>0.79351403962354405</v>
      </c>
    </row>
    <row r="110" spans="1:10" ht="26.25">
      <c r="A110" s="30" t="s">
        <v>56</v>
      </c>
      <c r="B110" s="241">
        <v>1</v>
      </c>
      <c r="C110" s="36">
        <v>2</v>
      </c>
      <c r="D110" s="255">
        <v>113462831</v>
      </c>
      <c r="E110" s="76">
        <f t="shared" ref="E110:E114" si="1">IF(ISBLANK(D110),"-",D110/$D$104*$D$101*$B$117)</f>
        <v>230.23530003903574</v>
      </c>
      <c r="F110" s="99">
        <f t="shared" ref="F110:F114" si="2">IF(ISBLANK(D110), "-", E110/$B$56)</f>
        <v>0.92094120015614289</v>
      </c>
    </row>
    <row r="111" spans="1:10" ht="26.25">
      <c r="A111" s="30" t="s">
        <v>57</v>
      </c>
      <c r="B111" s="241">
        <v>1</v>
      </c>
      <c r="C111" s="36">
        <v>3</v>
      </c>
      <c r="D111" s="255">
        <v>107674311</v>
      </c>
      <c r="E111" s="76">
        <f t="shared" si="1"/>
        <v>218.48941262166679</v>
      </c>
      <c r="F111" s="99">
        <f t="shared" si="2"/>
        <v>0.87395765048666718</v>
      </c>
    </row>
    <row r="112" spans="1:10" ht="26.25">
      <c r="A112" s="30" t="s">
        <v>58</v>
      </c>
      <c r="B112" s="241">
        <v>1</v>
      </c>
      <c r="C112" s="36">
        <v>4</v>
      </c>
      <c r="D112" s="255">
        <v>93648936</v>
      </c>
      <c r="E112" s="76">
        <f t="shared" si="1"/>
        <v>190.0295514246111</v>
      </c>
      <c r="F112" s="99">
        <f t="shared" si="2"/>
        <v>0.76011820569844435</v>
      </c>
    </row>
    <row r="113" spans="1:10" ht="26.25">
      <c r="A113" s="30" t="s">
        <v>59</v>
      </c>
      <c r="B113" s="241">
        <v>1</v>
      </c>
      <c r="C113" s="36">
        <v>5</v>
      </c>
      <c r="D113" s="255">
        <v>102586228</v>
      </c>
      <c r="E113" s="76">
        <f t="shared" si="1"/>
        <v>208.16483050253638</v>
      </c>
      <c r="F113" s="99">
        <f t="shared" si="2"/>
        <v>0.83265932201014548</v>
      </c>
    </row>
    <row r="114" spans="1:10" ht="26.25">
      <c r="A114" s="30" t="s">
        <v>60</v>
      </c>
      <c r="B114" s="241">
        <v>1</v>
      </c>
      <c r="C114" s="39">
        <v>6</v>
      </c>
      <c r="D114" s="256">
        <v>93380627</v>
      </c>
      <c r="E114" s="77">
        <f t="shared" si="1"/>
        <v>189.48510702309449</v>
      </c>
      <c r="F114" s="100">
        <f t="shared" si="2"/>
        <v>0.75794042809237794</v>
      </c>
    </row>
    <row r="115" spans="1:10" ht="26.25">
      <c r="A115" s="30" t="s">
        <v>61</v>
      </c>
      <c r="B115" s="241">
        <v>1</v>
      </c>
      <c r="C115" s="36"/>
      <c r="D115" s="62"/>
      <c r="E115" s="64"/>
      <c r="F115" s="78"/>
    </row>
    <row r="116" spans="1:10" ht="26.25">
      <c r="A116" s="30" t="s">
        <v>62</v>
      </c>
      <c r="B116" s="241">
        <v>1</v>
      </c>
      <c r="C116" s="36"/>
      <c r="D116" s="79"/>
      <c r="E116" s="80" t="s">
        <v>12</v>
      </c>
      <c r="F116" s="262">
        <f>AVERAGE(F109:F114)</f>
        <v>0.82318847434455356</v>
      </c>
    </row>
    <row r="117" spans="1:10" ht="27" thickBot="1">
      <c r="A117" s="30" t="s">
        <v>26</v>
      </c>
      <c r="B117" s="131">
        <f>(B116/B115)*(B114/B113)*(B112/B111)*(B110/B109)*B108</f>
        <v>900</v>
      </c>
      <c r="C117" s="81"/>
      <c r="D117" s="82"/>
      <c r="E117" s="83" t="s">
        <v>35</v>
      </c>
      <c r="F117" s="263">
        <f>STDEV(F109:F114)/F116</f>
        <v>7.9359343679068953E-2</v>
      </c>
      <c r="I117" s="64"/>
    </row>
    <row r="118" spans="1:10" ht="27" thickBot="1">
      <c r="A118" s="297" t="s">
        <v>34</v>
      </c>
      <c r="B118" s="298"/>
      <c r="C118" s="84"/>
      <c r="D118" s="85"/>
      <c r="E118" s="86" t="s">
        <v>6</v>
      </c>
      <c r="F118" s="264">
        <f>COUNT(F109:F114)</f>
        <v>6</v>
      </c>
      <c r="I118" s="64"/>
      <c r="J118" s="68"/>
    </row>
    <row r="119" spans="1:10" ht="19.5" thickBot="1">
      <c r="A119" s="299"/>
      <c r="B119" s="300"/>
      <c r="C119" s="64"/>
      <c r="D119" s="64"/>
      <c r="E119" s="64"/>
      <c r="F119" s="62"/>
      <c r="G119" s="64"/>
      <c r="H119" s="64"/>
      <c r="I119" s="64"/>
    </row>
    <row r="120" spans="1:10">
      <c r="A120" s="27"/>
      <c r="B120" s="27"/>
      <c r="C120" s="64"/>
      <c r="D120" s="64"/>
      <c r="E120" s="64"/>
      <c r="F120" s="62"/>
      <c r="G120" s="64"/>
      <c r="H120" s="64"/>
      <c r="I120" s="64"/>
    </row>
    <row r="121" spans="1:10" ht="26.25">
      <c r="A121" s="16" t="s">
        <v>94</v>
      </c>
      <c r="B121" s="196" t="s">
        <v>95</v>
      </c>
      <c r="C121" s="301">
        <f>B20</f>
        <v>0</v>
      </c>
      <c r="D121" s="301"/>
      <c r="E121" s="197" t="s">
        <v>96</v>
      </c>
      <c r="F121" s="197"/>
      <c r="G121" s="265">
        <f>F116</f>
        <v>0.82318847434455356</v>
      </c>
      <c r="H121" s="64"/>
      <c r="I121" s="64"/>
    </row>
    <row r="122" spans="1:10">
      <c r="A122" s="27"/>
      <c r="B122" s="27"/>
      <c r="C122" s="64"/>
      <c r="D122" s="64"/>
      <c r="E122" s="64"/>
      <c r="F122" s="62"/>
      <c r="G122" s="64"/>
      <c r="H122" s="64"/>
      <c r="I122" s="64"/>
    </row>
    <row r="123" spans="1:10" ht="26.25">
      <c r="A123" s="15" t="s">
        <v>93</v>
      </c>
      <c r="B123" s="15" t="s">
        <v>97</v>
      </c>
      <c r="D123" s="257" t="s">
        <v>98</v>
      </c>
    </row>
    <row r="124" spans="1:10" ht="19.5" thickBot="1">
      <c r="A124" s="9"/>
      <c r="B124" s="9"/>
      <c r="C124" s="9"/>
      <c r="D124" s="9"/>
      <c r="E124" s="9"/>
    </row>
    <row r="125" spans="1:10" ht="26.25">
      <c r="A125" s="29" t="s">
        <v>45</v>
      </c>
      <c r="B125" s="258">
        <v>900</v>
      </c>
      <c r="C125" s="70" t="s">
        <v>14</v>
      </c>
      <c r="D125" s="71" t="s">
        <v>46</v>
      </c>
      <c r="E125" s="72" t="s">
        <v>71</v>
      </c>
      <c r="F125" s="73" t="s">
        <v>72</v>
      </c>
    </row>
    <row r="126" spans="1:10" ht="26.25">
      <c r="A126" s="30" t="s">
        <v>55</v>
      </c>
      <c r="B126" s="259">
        <v>1</v>
      </c>
      <c r="C126" s="36">
        <v>1</v>
      </c>
      <c r="D126" s="260">
        <v>97763407</v>
      </c>
      <c r="E126" s="136">
        <f t="shared" ref="E126:E131" si="3">IF(ISBLANK(D126),"-",D126/$D$104*$D$101*$B$134)</f>
        <v>198.37850990588601</v>
      </c>
      <c r="F126" s="133">
        <f t="shared" ref="F126:F131" si="4">IF(ISBLANK(D126), "-", E126/$B$56)</f>
        <v>0.79351403962354405</v>
      </c>
    </row>
    <row r="127" spans="1:10" ht="26.25">
      <c r="A127" s="30" t="s">
        <v>56</v>
      </c>
      <c r="B127" s="259">
        <v>1</v>
      </c>
      <c r="C127" s="36">
        <v>2</v>
      </c>
      <c r="D127" s="260">
        <v>113462831</v>
      </c>
      <c r="E127" s="137">
        <f t="shared" si="3"/>
        <v>230.23530003903574</v>
      </c>
      <c r="F127" s="134">
        <f t="shared" si="4"/>
        <v>0.92094120015614289</v>
      </c>
    </row>
    <row r="128" spans="1:10" ht="26.25">
      <c r="A128" s="30" t="s">
        <v>57</v>
      </c>
      <c r="B128" s="259">
        <v>1</v>
      </c>
      <c r="C128" s="36">
        <v>3</v>
      </c>
      <c r="D128" s="260">
        <v>107674311</v>
      </c>
      <c r="E128" s="137">
        <f t="shared" si="3"/>
        <v>218.48941262166679</v>
      </c>
      <c r="F128" s="134">
        <f t="shared" si="4"/>
        <v>0.87395765048666718</v>
      </c>
    </row>
    <row r="129" spans="1:10" ht="26.25">
      <c r="A129" s="30" t="s">
        <v>58</v>
      </c>
      <c r="B129" s="259">
        <v>1</v>
      </c>
      <c r="C129" s="36">
        <v>4</v>
      </c>
      <c r="D129" s="260">
        <v>93648936</v>
      </c>
      <c r="E129" s="137">
        <f t="shared" si="3"/>
        <v>190.0295514246111</v>
      </c>
      <c r="F129" s="134">
        <f t="shared" si="4"/>
        <v>0.76011820569844435</v>
      </c>
    </row>
    <row r="130" spans="1:10" ht="26.25">
      <c r="A130" s="30" t="s">
        <v>59</v>
      </c>
      <c r="B130" s="259">
        <v>1</v>
      </c>
      <c r="C130" s="36">
        <v>5</v>
      </c>
      <c r="D130" s="260">
        <v>102586228</v>
      </c>
      <c r="E130" s="137">
        <f t="shared" si="3"/>
        <v>208.16483050253638</v>
      </c>
      <c r="F130" s="134">
        <f t="shared" si="4"/>
        <v>0.83265932201014548</v>
      </c>
    </row>
    <row r="131" spans="1:10" ht="26.25">
      <c r="A131" s="30" t="s">
        <v>60</v>
      </c>
      <c r="B131" s="259">
        <v>1</v>
      </c>
      <c r="C131" s="39">
        <v>6</v>
      </c>
      <c r="D131" s="261">
        <v>93380627</v>
      </c>
      <c r="E131" s="138">
        <f t="shared" si="3"/>
        <v>189.48510702309449</v>
      </c>
      <c r="F131" s="135">
        <f t="shared" si="4"/>
        <v>0.75794042809237794</v>
      </c>
    </row>
    <row r="132" spans="1:10" ht="26.25">
      <c r="A132" s="30" t="s">
        <v>61</v>
      </c>
      <c r="B132" s="259">
        <v>1</v>
      </c>
      <c r="C132" s="36"/>
      <c r="D132" s="62"/>
      <c r="E132" s="64"/>
      <c r="F132" s="78"/>
    </row>
    <row r="133" spans="1:10" ht="26.25">
      <c r="A133" s="30" t="s">
        <v>62</v>
      </c>
      <c r="B133" s="259">
        <v>1</v>
      </c>
      <c r="C133" s="36"/>
      <c r="D133" s="79"/>
      <c r="E133" s="80" t="s">
        <v>12</v>
      </c>
      <c r="F133" s="262">
        <f>AVERAGE(F126:F131)</f>
        <v>0.82318847434455356</v>
      </c>
    </row>
    <row r="134" spans="1:10" ht="27" thickBot="1">
      <c r="A134" s="30" t="s">
        <v>26</v>
      </c>
      <c r="B134" s="266">
        <f>(B133/B132)*(B131/B130)*(B129/B128)*(B127/B126)*B125</f>
        <v>900</v>
      </c>
      <c r="C134" s="81"/>
      <c r="D134" s="82"/>
      <c r="E134" s="83" t="s">
        <v>35</v>
      </c>
      <c r="F134" s="263">
        <f>STDEV(F126:F131)/F133</f>
        <v>7.9359343679068953E-2</v>
      </c>
      <c r="I134" s="64"/>
    </row>
    <row r="135" spans="1:10" ht="27" thickBot="1">
      <c r="A135" s="297" t="s">
        <v>34</v>
      </c>
      <c r="B135" s="298"/>
      <c r="C135" s="84"/>
      <c r="D135" s="85"/>
      <c r="E135" s="86" t="s">
        <v>6</v>
      </c>
      <c r="F135" s="264">
        <f>COUNT(F126:F131)</f>
        <v>6</v>
      </c>
      <c r="I135" s="64"/>
      <c r="J135" s="68"/>
    </row>
    <row r="136" spans="1:10" ht="19.5" thickBot="1">
      <c r="A136" s="299"/>
      <c r="B136" s="300"/>
      <c r="C136" s="64"/>
      <c r="D136" s="64"/>
      <c r="E136" s="64"/>
      <c r="F136" s="62"/>
      <c r="G136" s="64"/>
      <c r="H136" s="64"/>
      <c r="I136" s="64"/>
    </row>
    <row r="137" spans="1:10">
      <c r="A137" s="27"/>
      <c r="B137" s="27"/>
      <c r="C137" s="64"/>
      <c r="D137" s="64"/>
      <c r="E137" s="64"/>
      <c r="F137" s="62"/>
      <c r="G137" s="64"/>
      <c r="H137" s="64"/>
      <c r="I137" s="64"/>
    </row>
    <row r="138" spans="1:10" ht="26.25">
      <c r="A138" s="16" t="s">
        <v>94</v>
      </c>
      <c r="B138" s="196" t="s">
        <v>95</v>
      </c>
      <c r="C138" s="301">
        <f>B20</f>
        <v>0</v>
      </c>
      <c r="D138" s="301"/>
      <c r="E138" s="197" t="s">
        <v>96</v>
      </c>
      <c r="F138" s="197"/>
      <c r="G138" s="265">
        <f>F133</f>
        <v>0.82318847434455356</v>
      </c>
      <c r="H138" s="64"/>
      <c r="I138" s="64"/>
    </row>
    <row r="139" spans="1:10" ht="19.5" thickBot="1">
      <c r="A139" s="101"/>
      <c r="B139" s="101"/>
      <c r="C139" s="102"/>
      <c r="D139" s="102"/>
      <c r="E139" s="102"/>
      <c r="F139" s="102"/>
      <c r="G139" s="102"/>
      <c r="H139" s="102"/>
    </row>
    <row r="140" spans="1:10">
      <c r="B140" s="280" t="s">
        <v>63</v>
      </c>
      <c r="C140" s="280"/>
      <c r="E140" s="89" t="s">
        <v>65</v>
      </c>
      <c r="F140" s="117"/>
      <c r="G140" s="280" t="s">
        <v>64</v>
      </c>
      <c r="H140" s="280"/>
    </row>
    <row r="141" spans="1:10" ht="83.1" customHeight="1">
      <c r="A141" s="118" t="s">
        <v>11</v>
      </c>
      <c r="B141" s="194"/>
      <c r="C141" s="194"/>
      <c r="E141" s="113"/>
      <c r="F141" s="64"/>
      <c r="G141" s="115"/>
      <c r="H141" s="115"/>
    </row>
    <row r="142" spans="1:10" ht="83.1" customHeight="1">
      <c r="A142" s="118" t="s">
        <v>66</v>
      </c>
      <c r="B142" s="195"/>
      <c r="C142" s="195"/>
      <c r="E142" s="114"/>
      <c r="F142" s="64"/>
      <c r="G142" s="116"/>
      <c r="H142" s="116"/>
    </row>
    <row r="143" spans="1:10">
      <c r="A143" s="61"/>
      <c r="B143" s="61"/>
      <c r="C143" s="62"/>
      <c r="D143" s="62"/>
      <c r="E143" s="62"/>
      <c r="F143" s="63"/>
      <c r="G143" s="62"/>
      <c r="H143" s="62"/>
      <c r="I143" s="64"/>
    </row>
    <row r="144" spans="1:10">
      <c r="A144" s="61"/>
      <c r="B144" s="61"/>
      <c r="C144" s="62"/>
      <c r="D144" s="62"/>
      <c r="E144" s="62"/>
      <c r="F144" s="63"/>
      <c r="G144" s="62"/>
      <c r="H144" s="62"/>
      <c r="I144" s="64"/>
    </row>
    <row r="145" spans="1:9">
      <c r="A145" s="61"/>
      <c r="B145" s="61"/>
      <c r="C145" s="62"/>
      <c r="D145" s="62"/>
      <c r="E145" s="62"/>
      <c r="F145" s="63"/>
      <c r="G145" s="62"/>
      <c r="H145" s="62"/>
      <c r="I145" s="64"/>
    </row>
    <row r="146" spans="1:9">
      <c r="A146" s="61"/>
      <c r="B146" s="61"/>
      <c r="C146" s="62"/>
      <c r="D146" s="62"/>
      <c r="E146" s="62"/>
      <c r="F146" s="63"/>
      <c r="G146" s="62"/>
      <c r="H146" s="62"/>
      <c r="I146" s="64"/>
    </row>
    <row r="147" spans="1:9">
      <c r="A147" s="61"/>
      <c r="B147" s="61"/>
      <c r="C147" s="62"/>
      <c r="D147" s="62"/>
      <c r="E147" s="62"/>
      <c r="F147" s="63"/>
      <c r="G147" s="62"/>
      <c r="H147" s="62"/>
      <c r="I147" s="64"/>
    </row>
    <row r="148" spans="1:9">
      <c r="A148" s="61"/>
      <c r="B148" s="61"/>
      <c r="C148" s="62"/>
      <c r="D148" s="62"/>
      <c r="E148" s="62"/>
      <c r="F148" s="63"/>
      <c r="G148" s="62"/>
      <c r="H148" s="62"/>
      <c r="I148" s="64"/>
    </row>
    <row r="149" spans="1:9">
      <c r="A149" s="61"/>
      <c r="B149" s="61"/>
      <c r="C149" s="62"/>
      <c r="D149" s="62"/>
      <c r="E149" s="62"/>
      <c r="F149" s="63"/>
      <c r="G149" s="62"/>
      <c r="H149" s="62"/>
      <c r="I149" s="64"/>
    </row>
    <row r="150" spans="1:9">
      <c r="A150" s="61"/>
      <c r="B150" s="61"/>
      <c r="C150" s="62"/>
      <c r="D150" s="62"/>
      <c r="E150" s="62"/>
      <c r="F150" s="63"/>
      <c r="G150" s="62"/>
      <c r="H150" s="62"/>
      <c r="I150" s="64"/>
    </row>
    <row r="151" spans="1:9">
      <c r="A151" s="61"/>
      <c r="B151" s="61"/>
      <c r="C151" s="62"/>
      <c r="D151" s="62"/>
      <c r="E151" s="62"/>
      <c r="F151" s="63"/>
      <c r="G151" s="62"/>
      <c r="H151" s="62"/>
      <c r="I151" s="64"/>
    </row>
  </sheetData>
  <sheetProtection password="AD9C" sheet="1" objects="1" scenarios="1" formatCells="0" formatColumns="0" formatRows="0"/>
  <mergeCells count="29"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C76:D76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&amp;C&amp;P of &amp;N&amp;R&amp;D &amp;T</oddFooter>
  </headerFooter>
  <rowBreaks count="1" manualBreakCount="1">
    <brk id="121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SST (2)</vt:lpstr>
      <vt:lpstr>Component 1</vt:lpstr>
      <vt:lpstr>'Component 1'!Print_Area</vt:lpstr>
      <vt:lpstr>'SST (2)'!Print_Area</vt:lpstr>
      <vt:lpstr>Uniformity!Print_Area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2015-03-30T11:31:48Z</cp:lastPrinted>
  <dcterms:created xsi:type="dcterms:W3CDTF">2005-07-05T10:19:27Z</dcterms:created>
  <dcterms:modified xsi:type="dcterms:W3CDTF">2015-04-15T10:12:06Z</dcterms:modified>
</cp:coreProperties>
</file>