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1"/>
  </bookViews>
  <sheets>
    <sheet name="Uniformity" sheetId="2" r:id="rId1"/>
    <sheet name="Tadalafil" sheetId="3" r:id="rId2"/>
    <sheet name="SST" sheetId="4" r:id="rId3"/>
    <sheet name="Sheet3" sheetId="5" r:id="rId4"/>
  </sheets>
  <definedNames>
    <definedName name="_xlnm.Print_Area" localSheetId="2">SST!$A$1:$G$61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F112" i="3" l="1"/>
  <c r="F110" i="3"/>
  <c r="F108" i="3"/>
  <c r="B87" i="3"/>
  <c r="B45" i="3" l="1"/>
  <c r="G38" i="3"/>
  <c r="E38" i="3"/>
  <c r="D48" i="3"/>
  <c r="K25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B34" i="3"/>
  <c r="B30" i="3"/>
  <c r="C120" i="3"/>
  <c r="B116" i="3"/>
  <c r="D100" i="3" s="1"/>
  <c r="B98" i="3"/>
  <c r="D97" i="3"/>
  <c r="F95" i="3"/>
  <c r="D95" i="3"/>
  <c r="F97" i="3"/>
  <c r="B81" i="3"/>
  <c r="B83" i="3" s="1"/>
  <c r="B80" i="3"/>
  <c r="B79" i="3"/>
  <c r="C76" i="3"/>
  <c r="B68" i="3"/>
  <c r="C56" i="3"/>
  <c r="B55" i="3"/>
  <c r="D44" i="3"/>
  <c r="F42" i="3"/>
  <c r="D42" i="3"/>
  <c r="F44" i="3"/>
  <c r="C46" i="2"/>
  <c r="B57" i="3" s="1"/>
  <c r="C45" i="2"/>
  <c r="C19" i="2"/>
  <c r="D101" i="3" l="1"/>
  <c r="D102" i="3" s="1"/>
  <c r="I92" i="3"/>
  <c r="D30" i="2"/>
  <c r="D41" i="2"/>
  <c r="D26" i="2"/>
  <c r="B69" i="3"/>
  <c r="D33" i="2"/>
  <c r="D25" i="2"/>
  <c r="D38" i="2"/>
  <c r="B49" i="2"/>
  <c r="D34" i="2"/>
  <c r="D42" i="2"/>
  <c r="D50" i="2"/>
  <c r="D29" i="2"/>
  <c r="D37" i="2"/>
  <c r="D49" i="3"/>
  <c r="I39" i="3"/>
  <c r="D45" i="3"/>
  <c r="F45" i="3"/>
  <c r="G39" i="3" s="1"/>
  <c r="D98" i="3"/>
  <c r="F98" i="3"/>
  <c r="C50" i="2"/>
  <c r="D27" i="2"/>
  <c r="D31" i="2"/>
  <c r="D35" i="2"/>
  <c r="D39" i="2"/>
  <c r="D43" i="2"/>
  <c r="C49" i="2"/>
  <c r="D24" i="2"/>
  <c r="D28" i="2"/>
  <c r="D32" i="2"/>
  <c r="D36" i="2"/>
  <c r="D40" i="2"/>
  <c r="D49" i="2"/>
  <c r="G91" i="3" l="1"/>
  <c r="E91" i="3"/>
  <c r="G92" i="3"/>
  <c r="G93" i="3"/>
  <c r="E92" i="3"/>
  <c r="G40" i="3"/>
  <c r="E39" i="3"/>
  <c r="F46" i="3"/>
  <c r="D46" i="3"/>
  <c r="E41" i="3"/>
  <c r="E40" i="3"/>
  <c r="F99" i="3"/>
  <c r="E93" i="3"/>
  <c r="D99" i="3"/>
  <c r="G95" i="3" l="1"/>
  <c r="D103" i="3"/>
  <c r="E95" i="3"/>
  <c r="G42" i="3"/>
  <c r="D52" i="3"/>
  <c r="D50" i="3"/>
  <c r="E42" i="3"/>
  <c r="D105" i="3"/>
  <c r="E110" i="3" l="1"/>
  <c r="E108" i="3"/>
  <c r="D104" i="3"/>
  <c r="E113" i="3"/>
  <c r="F113" i="3" s="1"/>
  <c r="E112" i="3"/>
  <c r="E111" i="3"/>
  <c r="F111" i="3" s="1"/>
  <c r="E109" i="3"/>
  <c r="F109" i="3" s="1"/>
  <c r="G70" i="3"/>
  <c r="H70" i="3" s="1"/>
  <c r="G60" i="3"/>
  <c r="H60" i="3" s="1"/>
  <c r="G62" i="3"/>
  <c r="H62" i="3" s="1"/>
  <c r="G69" i="3"/>
  <c r="H69" i="3" s="1"/>
  <c r="G68" i="3"/>
  <c r="H68" i="3" s="1"/>
  <c r="G63" i="3"/>
  <c r="H63" i="3" s="1"/>
  <c r="G64" i="3"/>
  <c r="H64" i="3" s="1"/>
  <c r="G65" i="3"/>
  <c r="H65" i="3" s="1"/>
  <c r="D51" i="3"/>
  <c r="G67" i="3"/>
  <c r="H67" i="3" s="1"/>
  <c r="G66" i="3"/>
  <c r="H66" i="3" s="1"/>
  <c r="G61" i="3"/>
  <c r="H61" i="3" s="1"/>
  <c r="F117" i="3" l="1"/>
  <c r="F115" i="3"/>
  <c r="G120" i="3" s="1"/>
  <c r="H72" i="3"/>
  <c r="H73" i="3" s="1"/>
  <c r="H74" i="3"/>
  <c r="F116" i="3" l="1"/>
  <c r="G76" i="3"/>
</calcChain>
</file>

<file path=xl/sharedStrings.xml><?xml version="1.0" encoding="utf-8"?>
<sst xmlns="http://schemas.openxmlformats.org/spreadsheetml/2006/main" count="232" uniqueCount="129">
  <si>
    <t>Please enter the required information in the cells highlighted in green</t>
  </si>
  <si>
    <t>Uniformity of Weight Test Report</t>
  </si>
  <si>
    <t>Sample Name:</t>
  </si>
  <si>
    <t>TADA 20MG Tablets</t>
  </si>
  <si>
    <t>Laboratory Ref No:</t>
  </si>
  <si>
    <t>NDQD201501009</t>
  </si>
  <si>
    <t>Active Ingredient:</t>
  </si>
  <si>
    <t>Tadalafil BP</t>
  </si>
  <si>
    <t>Label Claim:</t>
  </si>
  <si>
    <t>Tadalafil BP 20mg per Tablet</t>
  </si>
  <si>
    <t>Date Analysis Started:</t>
  </si>
  <si>
    <t>2015-01-23 07:39:09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</si>
  <si>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</si>
  <si>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</si>
  <si>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</si>
  <si>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</si>
  <si>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</si>
  <si>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</si>
  <si>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</si>
  <si>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</si>
  <si>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</si>
  <si>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</si>
  <si>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</si>
  <si>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</si>
  <si>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</si>
  <si>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</si>
  <si>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</si>
  <si>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Analysis Report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</si>
  <si>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</si>
  <si>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</si>
  <si>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</si>
  <si>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</si>
  <si>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</si>
  <si>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</si>
  <si>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</si>
  <si>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</si>
  <si>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</si>
  <si>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</si>
  <si>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</si>
  <si>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</si>
  <si>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</si>
  <si>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</si>
  <si>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</si>
  <si>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</si>
  <si>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</si>
  <si>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</si>
  <si>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</si>
  <si>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</si>
  <si>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</si>
  <si>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</si>
  <si>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</si>
  <si>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</si>
  <si>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</si>
  <si>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</si>
  <si>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</si>
  <si>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</si>
  <si>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</si>
  <si>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</si>
  <si>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</si>
  <si>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</si>
  <si>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</si>
  <si>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</si>
  <si>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</si>
  <si>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</si>
  <si>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</si>
  <si>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</si>
  <si>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</si>
  <si>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</si>
  <si>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</si>
  <si>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</si>
  <si>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</si>
  <si>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</si>
  <si>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</si>
  <si>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</si>
  <si>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</si>
  <si>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</si>
  <si>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</si>
  <si>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</si>
  <si>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</si>
  <si>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</si>
  <si>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</si>
  <si>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</si>
  <si>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</si>
  <si>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</si>
  <si>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</si>
  <si>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</si>
  <si>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</si>
  <si>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</si>
  <si>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</si>
  <si>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</si>
  <si>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</si>
  <si>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</si>
  <si>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</si>
  <si>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</si>
  <si>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</si>
  <si>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</si>
  <si>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</si>
  <si>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</si>
  <si>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</si>
  <si>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</si>
  <si>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</si>
  <si>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</si>
  <si>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</si>
  <si>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</si>
  <si>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</si>
  <si>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</si>
  <si>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</si>
  <si>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Tadalafil</t>
  </si>
  <si>
    <t>T1 2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</si>
  <si>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</si>
  <si>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</si>
  <si>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</si>
  <si>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</si>
  <si>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</si>
  <si>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</si>
  <si>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</si>
  <si>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</si>
  <si>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</si>
  <si>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</si>
  <si>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</si>
  <si>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</si>
  <si>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</si>
  <si>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</si>
  <si>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</si>
  <si>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</si>
  <si>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</si>
  <si>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Jane Matundura</t>
  </si>
  <si>
    <t>TALIS 20MG Tablets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</si>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</sst>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[$-409]d/mmm/yy;@"/>
    <numFmt numFmtId="167" formatCode="0.0%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334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5" fontId="4" fillId="2" borderId="0" xfId="0" applyNumberFormat="1" applyFont="1" applyFill="1"/>
    <xf numFmtId="2" fontId="3" fillId="2" borderId="0" xfId="0" applyNumberFormat="1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10" fontId="2" fillId="2" borderId="1" xfId="0" applyNumberFormat="1" applyFont="1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3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/>
    <xf numFmtId="0" fontId="2" fillId="2" borderId="4" xfId="0" applyFont="1" applyFill="1" applyBorder="1"/>
    <xf numFmtId="166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10" fontId="1" fillId="2" borderId="0" xfId="0" applyNumberFormat="1" applyFont="1" applyFill="1"/>
    <xf numFmtId="2" fontId="6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165" fontId="6" fillId="2" borderId="5" xfId="0" applyNumberFormat="1" applyFont="1" applyFill="1" applyBorder="1" applyAlignment="1">
      <alignment horizontal="center" wrapText="1"/>
    </xf>
    <xf numFmtId="10" fontId="2" fillId="2" borderId="6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6" fillId="2" borderId="5" xfId="0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/>
    </xf>
    <xf numFmtId="167" fontId="6" fillId="2" borderId="10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Protection="1">
      <protection locked="0"/>
    </xf>
    <xf numFmtId="2" fontId="2" fillId="3" borderId="8" xfId="0" applyNumberFormat="1" applyFont="1" applyFill="1" applyBorder="1" applyProtection="1">
      <protection locked="0"/>
    </xf>
    <xf numFmtId="166" fontId="2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1" fontId="9" fillId="2" borderId="19" xfId="0" applyNumberFormat="1" applyFont="1" applyFill="1" applyBorder="1" applyAlignment="1">
      <alignment horizontal="center"/>
    </xf>
    <xf numFmtId="171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1" fontId="9" fillId="2" borderId="24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1" fontId="9" fillId="2" borderId="28" xfId="0" applyNumberFormat="1" applyFont="1" applyFill="1" applyBorder="1" applyAlignment="1">
      <alignment horizontal="center"/>
    </xf>
    <xf numFmtId="171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1" fontId="10" fillId="4" borderId="31" xfId="0" applyNumberFormat="1" applyFont="1" applyFill="1" applyBorder="1" applyAlignment="1">
      <alignment horizontal="center"/>
    </xf>
    <xf numFmtId="171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1" fontId="10" fillId="5" borderId="6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10" fontId="9" fillId="2" borderId="15" xfId="0" applyNumberFormat="1" applyFont="1" applyFill="1" applyBorder="1" applyAlignment="1">
      <alignment horizontal="center" vertical="center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39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0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71" fontId="10" fillId="4" borderId="8" xfId="0" applyNumberFormat="1" applyFont="1" applyFill="1" applyBorder="1" applyAlignment="1">
      <alignment horizontal="center"/>
    </xf>
    <xf numFmtId="0" fontId="9" fillId="2" borderId="44" xfId="0" applyFont="1" applyFill="1" applyBorder="1" applyAlignment="1">
      <alignment horizontal="right"/>
    </xf>
    <xf numFmtId="0" fontId="11" fillId="3" borderId="45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6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1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7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1" fontId="9" fillId="2" borderId="49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0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4" fontId="10" fillId="2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Protection="1">
      <protection locked="0"/>
    </xf>
    <xf numFmtId="164" fontId="9" fillId="2" borderId="14" xfId="0" applyNumberFormat="1" applyFont="1" applyFill="1" applyBorder="1" applyAlignment="1">
      <alignment horizontal="center"/>
    </xf>
    <xf numFmtId="164" fontId="9" fillId="2" borderId="16" xfId="0" applyNumberFormat="1" applyFont="1" applyFill="1" applyBorder="1" applyAlignment="1">
      <alignment horizontal="center"/>
    </xf>
    <xf numFmtId="164" fontId="9" fillId="2" borderId="6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2" borderId="8" xfId="0" applyNumberFormat="1" applyFont="1" applyFill="1" applyBorder="1" applyAlignment="1">
      <alignment horizontal="center"/>
    </xf>
    <xf numFmtId="10" fontId="11" fillId="4" borderId="53" xfId="0" applyNumberFormat="1" applyFont="1" applyFill="1" applyBorder="1" applyAlignment="1">
      <alignment horizontal="center"/>
    </xf>
    <xf numFmtId="164" fontId="9" fillId="2" borderId="19" xfId="0" applyNumberFormat="1" applyFont="1" applyFill="1" applyBorder="1" applyAlignment="1">
      <alignment horizontal="center"/>
    </xf>
    <xf numFmtId="164" fontId="9" fillId="2" borderId="24" xfId="0" applyNumberFormat="1" applyFont="1" applyFill="1" applyBorder="1" applyAlignment="1">
      <alignment horizontal="center"/>
    </xf>
    <xf numFmtId="164" fontId="9" fillId="2" borderId="28" xfId="0" applyNumberFormat="1" applyFont="1" applyFill="1" applyBorder="1" applyAlignment="1">
      <alignment horizontal="center"/>
    </xf>
    <xf numFmtId="0" fontId="4" fillId="2" borderId="0" xfId="1" applyFont="1" applyFill="1"/>
    <xf numFmtId="0" fontId="1" fillId="2" borderId="0" xfId="1" applyFont="1" applyFill="1"/>
    <xf numFmtId="0" fontId="1" fillId="2" borderId="0" xfId="1" applyFont="1" applyFill="1" applyAlignment="1">
      <alignment horizontal="righ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2" fillId="2" borderId="0" xfId="1" applyFont="1" applyFill="1"/>
    <xf numFmtId="0" fontId="6" fillId="2" borderId="0" xfId="1" applyFont="1" applyFill="1"/>
    <xf numFmtId="2" fontId="6" fillId="2" borderId="0" xfId="1" applyNumberFormat="1" applyFont="1" applyFill="1" applyAlignment="1">
      <alignment horizontal="center"/>
    </xf>
    <xf numFmtId="165" fontId="6" fillId="2" borderId="0" xfId="1" applyNumberFormat="1" applyFont="1" applyFill="1" applyAlignment="1">
      <alignment horizontal="center"/>
    </xf>
    <xf numFmtId="14" fontId="2" fillId="2" borderId="0" xfId="1" applyNumberFormat="1" applyFont="1" applyFill="1"/>
    <xf numFmtId="0" fontId="6" fillId="2" borderId="55" xfId="1" applyFont="1" applyFill="1" applyBorder="1" applyAlignment="1">
      <alignment horizontal="center"/>
    </xf>
    <xf numFmtId="0" fontId="6" fillId="2" borderId="49" xfId="1" applyFont="1" applyFill="1" applyBorder="1" applyAlignment="1">
      <alignment horizontal="center"/>
    </xf>
    <xf numFmtId="0" fontId="2" fillId="2" borderId="56" xfId="1" applyFont="1" applyFill="1" applyBorder="1" applyAlignment="1">
      <alignment horizontal="center"/>
    </xf>
    <xf numFmtId="0" fontId="24" fillId="3" borderId="56" xfId="1" applyFont="1" applyFill="1" applyBorder="1" applyAlignment="1" applyProtection="1">
      <alignment horizontal="center"/>
      <protection locked="0"/>
    </xf>
    <xf numFmtId="2" fontId="24" fillId="3" borderId="56" xfId="1" applyNumberFormat="1" applyFont="1" applyFill="1" applyBorder="1" applyAlignment="1" applyProtection="1">
      <alignment horizontal="center"/>
      <protection locked="0"/>
    </xf>
    <xf numFmtId="2" fontId="24" fillId="3" borderId="57" xfId="1" applyNumberFormat="1" applyFont="1" applyFill="1" applyBorder="1" applyAlignment="1" applyProtection="1">
      <alignment horizontal="center"/>
      <protection locked="0"/>
    </xf>
    <xf numFmtId="0" fontId="24" fillId="3" borderId="58" xfId="1" applyFont="1" applyFill="1" applyBorder="1" applyAlignment="1" applyProtection="1">
      <alignment horizontal="center"/>
      <protection locked="0"/>
    </xf>
    <xf numFmtId="2" fontId="24" fillId="3" borderId="58" xfId="1" applyNumberFormat="1" applyFont="1" applyFill="1" applyBorder="1" applyAlignment="1" applyProtection="1">
      <alignment horizontal="center"/>
      <protection locked="0"/>
    </xf>
    <xf numFmtId="0" fontId="2" fillId="2" borderId="57" xfId="1" applyFont="1" applyFill="1" applyBorder="1"/>
    <xf numFmtId="1" fontId="6" fillId="6" borderId="49" xfId="1" applyNumberFormat="1" applyFont="1" applyFill="1" applyBorder="1" applyAlignment="1">
      <alignment horizontal="center"/>
    </xf>
    <xf numFmtId="1" fontId="6" fillId="6" borderId="55" xfId="1" applyNumberFormat="1" applyFont="1" applyFill="1" applyBorder="1" applyAlignment="1">
      <alignment horizontal="center"/>
    </xf>
    <xf numFmtId="2" fontId="6" fillId="6" borderId="55" xfId="1" applyNumberFormat="1" applyFont="1" applyFill="1" applyBorder="1" applyAlignment="1">
      <alignment horizontal="center"/>
    </xf>
    <xf numFmtId="0" fontId="2" fillId="2" borderId="56" xfId="1" applyFont="1" applyFill="1" applyBorder="1"/>
    <xf numFmtId="10" fontId="6" fillId="7" borderId="55" xfId="1" applyNumberFormat="1" applyFont="1" applyFill="1" applyBorder="1" applyAlignment="1">
      <alignment horizontal="center"/>
    </xf>
    <xf numFmtId="167" fontId="6" fillId="2" borderId="0" xfId="1" applyNumberFormat="1" applyFont="1" applyFill="1" applyAlignment="1">
      <alignment horizontal="center"/>
    </xf>
    <xf numFmtId="0" fontId="2" fillId="2" borderId="50" xfId="1" applyFont="1" applyFill="1" applyBorder="1"/>
    <xf numFmtId="0" fontId="2" fillId="2" borderId="58" xfId="1" applyFont="1" applyFill="1" applyBorder="1"/>
    <xf numFmtId="0" fontId="6" fillId="6" borderId="55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" fillId="2" borderId="3" xfId="1" applyFont="1" applyFill="1" applyBorder="1"/>
    <xf numFmtId="0" fontId="2" fillId="2" borderId="59" xfId="1" applyFont="1" applyFill="1" applyBorder="1"/>
    <xf numFmtId="0" fontId="2" fillId="2" borderId="0" xfId="1" applyFont="1" applyFill="1" applyAlignment="1" applyProtection="1">
      <alignment horizontal="left"/>
      <protection locked="0"/>
    </xf>
    <xf numFmtId="0" fontId="2" fillId="2" borderId="0" xfId="1" applyFont="1" applyFill="1" applyProtection="1">
      <protection locked="0"/>
    </xf>
    <xf numFmtId="0" fontId="6" fillId="2" borderId="19" xfId="1" applyFont="1" applyFill="1" applyBorder="1" applyAlignment="1">
      <alignment horizontal="center"/>
    </xf>
    <xf numFmtId="0" fontId="2" fillId="2" borderId="24" xfId="1" applyFont="1" applyFill="1" applyBorder="1" applyAlignment="1">
      <alignment horizontal="center"/>
    </xf>
    <xf numFmtId="0" fontId="24" fillId="3" borderId="60" xfId="1" applyFont="1" applyFill="1" applyBorder="1" applyAlignment="1" applyProtection="1">
      <alignment horizontal="center"/>
      <protection locked="0"/>
    </xf>
    <xf numFmtId="0" fontId="24" fillId="3" borderId="50" xfId="1" applyFont="1" applyFill="1" applyBorder="1" applyAlignment="1" applyProtection="1">
      <alignment horizontal="center"/>
      <protection locked="0"/>
    </xf>
    <xf numFmtId="0" fontId="24" fillId="3" borderId="61" xfId="1" applyFont="1" applyFill="1" applyBorder="1" applyAlignment="1" applyProtection="1">
      <alignment horizontal="center"/>
      <protection locked="0"/>
    </xf>
    <xf numFmtId="0" fontId="24" fillId="3" borderId="62" xfId="1" applyFont="1" applyFill="1" applyBorder="1" applyAlignment="1" applyProtection="1">
      <alignment horizontal="center"/>
      <protection locked="0"/>
    </xf>
    <xf numFmtId="0" fontId="24" fillId="3" borderId="59" xfId="1" applyFont="1" applyFill="1" applyBorder="1" applyAlignment="1" applyProtection="1">
      <alignment horizontal="center"/>
      <protection locked="0"/>
    </xf>
    <xf numFmtId="1" fontId="6" fillId="6" borderId="28" xfId="1" applyNumberFormat="1" applyFont="1" applyFill="1" applyBorder="1" applyAlignment="1">
      <alignment horizontal="center"/>
    </xf>
    <xf numFmtId="0" fontId="1" fillId="2" borderId="1" xfId="1" applyFont="1" applyFill="1" applyBorder="1"/>
    <xf numFmtId="0" fontId="1" fillId="2" borderId="0" xfId="1" applyFont="1" applyFill="1" applyAlignment="1">
      <alignment horizontal="center"/>
    </xf>
    <xf numFmtId="10" fontId="1" fillId="2" borderId="1" xfId="1" applyNumberFormat="1" applyFont="1" applyFill="1" applyBorder="1"/>
    <xf numFmtId="0" fontId="23" fillId="2" borderId="0" xfId="1" applyFill="1"/>
    <xf numFmtId="0" fontId="4" fillId="2" borderId="2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4" fillId="2" borderId="0" xfId="1" applyFont="1" applyFill="1" applyAlignment="1">
      <alignment horizontal="right"/>
    </xf>
    <xf numFmtId="0" fontId="1" fillId="2" borderId="3" xfId="1" applyFont="1" applyFill="1" applyBorder="1"/>
    <xf numFmtId="0" fontId="4" fillId="2" borderId="4" xfId="1" applyFont="1" applyFill="1" applyBorder="1"/>
    <xf numFmtId="0" fontId="1" fillId="2" borderId="4" xfId="1" applyFont="1" applyFill="1" applyBorder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65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0" fillId="2" borderId="40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10" fontId="14" fillId="2" borderId="7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2" fontId="11" fillId="3" borderId="6" xfId="0" applyNumberFormat="1" applyFont="1" applyFill="1" applyBorder="1" applyAlignment="1" applyProtection="1">
      <alignment horizontal="center" vertical="center"/>
      <protection locked="0"/>
    </xf>
    <xf numFmtId="2" fontId="11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0" fillId="2" borderId="33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 wrapText="1"/>
      <protection locked="0"/>
    </xf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2" borderId="0" xfId="1" applyFont="1" applyFill="1" applyAlignment="1">
      <alignment horizontal="center"/>
    </xf>
    <xf numFmtId="0" fontId="4" fillId="2" borderId="2" xfId="1" applyFont="1" applyFill="1" applyBorder="1" applyAlignment="1">
      <alignment horizontal="center"/>
    </xf>
    <xf numFmtId="171" fontId="11" fillId="3" borderId="24" xfId="0" applyNumberFormat="1" applyFont="1" applyFill="1" applyBorder="1" applyAlignment="1" applyProtection="1">
      <alignment horizontal="center"/>
      <protection locked="0"/>
    </xf>
    <xf numFmtId="171" fontId="11" fillId="3" borderId="28" xfId="0" applyNumberFormat="1" applyFont="1" applyFill="1" applyBorder="1" applyAlignment="1" applyProtection="1">
      <alignment horizontal="center"/>
      <protection locked="0"/>
    </xf>
    <xf numFmtId="171" fontId="10" fillId="4" borderId="43" xfId="0" applyNumberFormat="1" applyFont="1" applyFill="1" applyBorder="1" applyAlignment="1">
      <alignment horizontal="center"/>
    </xf>
    <xf numFmtId="171" fontId="10" fillId="4" borderId="42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50" sqref="C50"/>
    </sheetView>
  </sheetViews>
  <sheetFormatPr defaultRowHeight="12.75" x14ac:dyDescent="0.2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"/>
    <row r="11" spans="1:7" ht="13.5" customHeight="1" x14ac:dyDescent="0.25">
      <c r="A11" s="284" t="s">
        <v>0</v>
      </c>
      <c r="B11" s="285"/>
      <c r="C11" s="285"/>
      <c r="D11" s="285"/>
      <c r="E11" s="285"/>
      <c r="F11" s="286"/>
      <c r="G11" s="41"/>
    </row>
    <row r="12" spans="1:7" ht="16.5" customHeight="1" x14ac:dyDescent="0.3">
      <c r="A12" s="283" t="s">
        <v>1</v>
      </c>
      <c r="B12" s="283"/>
      <c r="C12" s="283"/>
      <c r="D12" s="283"/>
      <c r="E12" s="283"/>
      <c r="F12" s="283"/>
      <c r="G12" s="40"/>
    </row>
    <row r="14" spans="1:7" ht="16.5" customHeight="1" x14ac:dyDescent="0.3">
      <c r="A14" s="288" t="s">
        <v>2</v>
      </c>
      <c r="B14" s="288"/>
      <c r="C14" s="10" t="s">
        <v>3</v>
      </c>
    </row>
    <row r="15" spans="1:7" ht="16.5" customHeight="1" x14ac:dyDescent="0.3">
      <c r="A15" s="288" t="s">
        <v>4</v>
      </c>
      <c r="B15" s="288"/>
      <c r="C15" s="10" t="s">
        <v>5</v>
      </c>
    </row>
    <row r="16" spans="1:7" ht="16.5" customHeight="1" x14ac:dyDescent="0.3">
      <c r="A16" s="288" t="s">
        <v>6</v>
      </c>
      <c r="B16" s="288"/>
      <c r="C16" s="10" t="s">
        <v>7</v>
      </c>
    </row>
    <row r="17" spans="1:5" ht="16.5" customHeight="1" x14ac:dyDescent="0.3">
      <c r="A17" s="288" t="s">
        <v>8</v>
      </c>
      <c r="B17" s="288"/>
      <c r="C17" s="10" t="s">
        <v>9</v>
      </c>
    </row>
    <row r="18" spans="1:5" ht="16.5" customHeight="1" x14ac:dyDescent="0.3">
      <c r="A18" s="288" t="s">
        <v>10</v>
      </c>
      <c r="B18" s="288"/>
      <c r="C18" s="47" t="s">
        <v>11</v>
      </c>
    </row>
    <row r="19" spans="1:5" ht="16.5" customHeight="1" x14ac:dyDescent="0.3">
      <c r="A19" s="288" t="s">
        <v>12</v>
      </c>
      <c r="B19" s="288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83" t="s">
        <v>13</v>
      </c>
      <c r="B21" s="283"/>
      <c r="C21" s="9" t="s">
        <v>14</v>
      </c>
      <c r="D21" s="16"/>
    </row>
    <row r="22" spans="1:5" ht="15.75" customHeight="1" x14ac:dyDescent="0.3">
      <c r="A22" s="287"/>
      <c r="B22" s="287"/>
      <c r="C22" s="7"/>
      <c r="D22" s="287"/>
      <c r="E22" s="287"/>
    </row>
    <row r="23" spans="1:5" ht="33.75" customHeight="1" x14ac:dyDescent="0.3">
      <c r="C23" s="36" t="s">
        <v>15</v>
      </c>
      <c r="D23" s="35" t="s">
        <v>16</v>
      </c>
      <c r="E23" s="2"/>
    </row>
    <row r="24" spans="1:5" ht="15.75" customHeight="1" x14ac:dyDescent="0.25">
      <c r="C24" s="45">
        <v>458.08</v>
      </c>
      <c r="D24" s="37">
        <f t="shared" ref="D24:D43" si="0">(C24-$C$46)/$C$46</f>
        <v>6.0009113918489919E-3</v>
      </c>
      <c r="E24" s="3"/>
    </row>
    <row r="25" spans="1:5" ht="15.75" customHeight="1" x14ac:dyDescent="0.25">
      <c r="C25" s="45">
        <v>456.19</v>
      </c>
      <c r="D25" s="38">
        <f t="shared" si="0"/>
        <v>1.8502352598838748E-3</v>
      </c>
      <c r="E25" s="3"/>
    </row>
    <row r="26" spans="1:5" ht="15.75" customHeight="1" x14ac:dyDescent="0.25">
      <c r="C26" s="45">
        <v>458.3</v>
      </c>
      <c r="D26" s="38">
        <f t="shared" si="0"/>
        <v>6.4840588781095452E-3</v>
      </c>
      <c r="E26" s="3"/>
    </row>
    <row r="27" spans="1:5" ht="15.75" customHeight="1" x14ac:dyDescent="0.25">
      <c r="C27" s="45">
        <v>455.4</v>
      </c>
      <c r="D27" s="38">
        <f t="shared" si="0"/>
        <v>1.1529655922114923E-4</v>
      </c>
      <c r="E27" s="3"/>
    </row>
    <row r="28" spans="1:5" ht="15.75" customHeight="1" x14ac:dyDescent="0.25">
      <c r="C28" s="45">
        <v>454.69</v>
      </c>
      <c r="D28" s="38">
        <f t="shared" si="0"/>
        <v>-1.4439521464376707E-3</v>
      </c>
      <c r="E28" s="3"/>
    </row>
    <row r="29" spans="1:5" ht="15.75" customHeight="1" x14ac:dyDescent="0.25">
      <c r="C29" s="45">
        <v>453.47</v>
      </c>
      <c r="D29" s="38">
        <f t="shared" si="0"/>
        <v>-4.1232245702457959E-3</v>
      </c>
      <c r="E29" s="3"/>
    </row>
    <row r="30" spans="1:5" ht="15.75" customHeight="1" x14ac:dyDescent="0.25">
      <c r="C30" s="45">
        <v>452.79</v>
      </c>
      <c r="D30" s="38">
        <f t="shared" si="0"/>
        <v>-5.6165895277782447E-3</v>
      </c>
      <c r="E30" s="3"/>
    </row>
    <row r="31" spans="1:5" ht="15.75" customHeight="1" x14ac:dyDescent="0.25">
      <c r="C31" s="45">
        <v>456.82</v>
      </c>
      <c r="D31" s="38">
        <f t="shared" si="0"/>
        <v>3.233793970538914E-3</v>
      </c>
      <c r="E31" s="3"/>
    </row>
    <row r="32" spans="1:5" ht="15.75" customHeight="1" x14ac:dyDescent="0.25">
      <c r="C32" s="45">
        <v>455.38</v>
      </c>
      <c r="D32" s="38">
        <f t="shared" si="0"/>
        <v>7.1374060470235235E-5</v>
      </c>
      <c r="E32" s="3"/>
    </row>
    <row r="33" spans="1:7" ht="15.75" customHeight="1" x14ac:dyDescent="0.25">
      <c r="C33" s="45">
        <v>452.73</v>
      </c>
      <c r="D33" s="38">
        <f t="shared" si="0"/>
        <v>-5.7483570240311121E-3</v>
      </c>
      <c r="E33" s="3"/>
    </row>
    <row r="34" spans="1:7" ht="15.75" customHeight="1" x14ac:dyDescent="0.25">
      <c r="C34" s="45">
        <v>454.95</v>
      </c>
      <c r="D34" s="38">
        <f t="shared" si="0"/>
        <v>-8.729596626752894E-4</v>
      </c>
      <c r="E34" s="3"/>
    </row>
    <row r="35" spans="1:7" ht="15.75" customHeight="1" x14ac:dyDescent="0.25">
      <c r="C35" s="45">
        <v>452.11</v>
      </c>
      <c r="D35" s="38">
        <f t="shared" si="0"/>
        <v>-7.1099544853106935E-3</v>
      </c>
      <c r="E35" s="3"/>
    </row>
    <row r="36" spans="1:7" ht="15.75" customHeight="1" x14ac:dyDescent="0.25">
      <c r="C36" s="45">
        <v>458.89</v>
      </c>
      <c r="D36" s="38">
        <f t="shared" si="0"/>
        <v>7.7797725912626316E-3</v>
      </c>
      <c r="E36" s="3"/>
    </row>
    <row r="37" spans="1:7" ht="15.75" customHeight="1" x14ac:dyDescent="0.25">
      <c r="C37" s="45">
        <v>459.05</v>
      </c>
      <c r="D37" s="38">
        <f t="shared" si="0"/>
        <v>8.1311525812703175E-3</v>
      </c>
      <c r="E37" s="3"/>
    </row>
    <row r="38" spans="1:7" ht="15.75" customHeight="1" x14ac:dyDescent="0.25">
      <c r="C38" s="45">
        <v>454.37</v>
      </c>
      <c r="D38" s="38">
        <f t="shared" si="0"/>
        <v>-2.1467121264529187E-3</v>
      </c>
      <c r="E38" s="3"/>
    </row>
    <row r="39" spans="1:7" ht="15.75" customHeight="1" x14ac:dyDescent="0.25">
      <c r="C39" s="45">
        <v>449.43</v>
      </c>
      <c r="D39" s="38">
        <f t="shared" si="0"/>
        <v>-1.2995569317938537E-2</v>
      </c>
      <c r="E39" s="3"/>
    </row>
    <row r="40" spans="1:7" ht="15.75" customHeight="1" x14ac:dyDescent="0.25">
      <c r="C40" s="45">
        <v>453.85</v>
      </c>
      <c r="D40" s="38">
        <f t="shared" si="0"/>
        <v>-3.2886970939776813E-3</v>
      </c>
      <c r="E40" s="3"/>
    </row>
    <row r="41" spans="1:7" ht="15.75" customHeight="1" x14ac:dyDescent="0.25">
      <c r="C41" s="45">
        <v>458.49</v>
      </c>
      <c r="D41" s="38">
        <f t="shared" si="0"/>
        <v>6.9013226162436027E-3</v>
      </c>
      <c r="E41" s="3"/>
    </row>
    <row r="42" spans="1:7" ht="15.75" customHeight="1" x14ac:dyDescent="0.25">
      <c r="C42" s="45">
        <v>454.5</v>
      </c>
      <c r="D42" s="38">
        <f t="shared" si="0"/>
        <v>-1.8612158845717282E-3</v>
      </c>
      <c r="E42" s="3"/>
    </row>
    <row r="43" spans="1:7" ht="16.5" customHeight="1" x14ac:dyDescent="0.25">
      <c r="C43" s="46">
        <v>457.46</v>
      </c>
      <c r="D43" s="39">
        <f t="shared" si="0"/>
        <v>4.6393139305694097E-3</v>
      </c>
      <c r="E43" s="3"/>
    </row>
    <row r="44" spans="1:7" ht="16.5" customHeight="1" x14ac:dyDescent="0.25">
      <c r="C44" s="4"/>
      <c r="D44" s="3"/>
      <c r="E44" s="5"/>
    </row>
    <row r="45" spans="1:7" ht="16.5" customHeight="1" x14ac:dyDescent="0.25">
      <c r="B45" s="32" t="s">
        <v>17</v>
      </c>
      <c r="C45" s="33">
        <f>SUM(C24:C44)</f>
        <v>9106.9500000000007</v>
      </c>
      <c r="D45" s="28"/>
      <c r="E45" s="4"/>
    </row>
    <row r="46" spans="1:7" ht="17.25" customHeight="1" x14ac:dyDescent="0.2">
      <c r="B46" s="32" t="s">
        <v>18</v>
      </c>
      <c r="C46" s="34">
        <f>AVERAGE(C24:C44)</f>
        <v>455.34750000000003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18</v>
      </c>
      <c r="C48" s="35" t="s">
        <v>19</v>
      </c>
      <c r="D48" s="30"/>
      <c r="G48" s="8"/>
    </row>
    <row r="49" spans="1:6" ht="17.25" customHeight="1" x14ac:dyDescent="0.3">
      <c r="B49" s="281">
        <f>C46</f>
        <v>455.34750000000003</v>
      </c>
      <c r="C49" s="43">
        <f>-IF(C46&lt;=80,10%,IF(C46&lt;250,7.5%,5%))</f>
        <v>-0.05</v>
      </c>
      <c r="D49" s="31">
        <f>IF(C46&lt;=80,C46*0.9,IF(C46&lt;250,C46*0.925,C46*0.95))</f>
        <v>432.58012500000001</v>
      </c>
    </row>
    <row r="50" spans="1:6" ht="17.25" customHeight="1" x14ac:dyDescent="0.3">
      <c r="B50" s="282"/>
      <c r="C50" s="44">
        <f>IF(C46&lt;=80, 10%, IF(C46&lt;250, 7.5%, 5%))</f>
        <v>0.05</v>
      </c>
      <c r="D50" s="31">
        <f>IF(C46&lt;=80, C46*1.1, IF(C46&lt;250, C46*1.075, C46*1.05))</f>
        <v>478.11487500000004</v>
      </c>
    </row>
    <row r="51" spans="1:6" ht="16.5" customHeight="1" x14ac:dyDescent="0.25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20</v>
      </c>
      <c r="C52" s="17"/>
      <c r="D52" s="18" t="s">
        <v>21</v>
      </c>
      <c r="E52" s="19"/>
      <c r="F52" s="18" t="s">
        <v>22</v>
      </c>
    </row>
    <row r="53" spans="1:6" ht="34.5" customHeight="1" x14ac:dyDescent="0.3">
      <c r="A53" s="20" t="s">
        <v>23</v>
      </c>
      <c r="B53" s="21"/>
      <c r="C53" s="22"/>
      <c r="D53" s="21"/>
      <c r="E53" s="11"/>
      <c r="F53" s="23"/>
    </row>
    <row r="54" spans="1:6" ht="34.5" customHeight="1" x14ac:dyDescent="0.3">
      <c r="A54" s="20" t="s">
        <v>24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9" zoomScale="50" zoomScaleNormal="40" zoomScalePageLayoutView="50" workbookViewId="0">
      <selection activeCell="G109" sqref="G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9" t="s">
        <v>25</v>
      </c>
      <c r="B1" s="289"/>
      <c r="C1" s="289"/>
      <c r="D1" s="289"/>
      <c r="E1" s="289"/>
      <c r="F1" s="289"/>
      <c r="G1" s="289"/>
      <c r="H1" s="289"/>
      <c r="I1" s="289"/>
    </row>
    <row r="2" spans="1:9" ht="18.75" customHeight="1" x14ac:dyDescent="0.25">
      <c r="A2" s="289"/>
      <c r="B2" s="289"/>
      <c r="C2" s="289"/>
      <c r="D2" s="289"/>
      <c r="E2" s="289"/>
      <c r="F2" s="289"/>
      <c r="G2" s="289"/>
      <c r="H2" s="289"/>
      <c r="I2" s="289"/>
    </row>
    <row r="3" spans="1:9" ht="18.75" customHeight="1" x14ac:dyDescent="0.25">
      <c r="A3" s="289"/>
      <c r="B3" s="289"/>
      <c r="C3" s="289"/>
      <c r="D3" s="289"/>
      <c r="E3" s="289"/>
      <c r="F3" s="289"/>
      <c r="G3" s="289"/>
      <c r="H3" s="289"/>
      <c r="I3" s="289"/>
    </row>
    <row r="4" spans="1:9" ht="18.75" customHeight="1" x14ac:dyDescent="0.25">
      <c r="A4" s="289"/>
      <c r="B4" s="289"/>
      <c r="C4" s="289"/>
      <c r="D4" s="289"/>
      <c r="E4" s="289"/>
      <c r="F4" s="289"/>
      <c r="G4" s="289"/>
      <c r="H4" s="289"/>
      <c r="I4" s="289"/>
    </row>
    <row r="5" spans="1:9" ht="18.75" customHeight="1" x14ac:dyDescent="0.25">
      <c r="A5" s="289"/>
      <c r="B5" s="289"/>
      <c r="C5" s="289"/>
      <c r="D5" s="289"/>
      <c r="E5" s="289"/>
      <c r="F5" s="289"/>
      <c r="G5" s="289"/>
      <c r="H5" s="289"/>
      <c r="I5" s="289"/>
    </row>
    <row r="6" spans="1:9" ht="18.75" customHeight="1" x14ac:dyDescent="0.25">
      <c r="A6" s="289"/>
      <c r="B6" s="289"/>
      <c r="C6" s="289"/>
      <c r="D6" s="289"/>
      <c r="E6" s="289"/>
      <c r="F6" s="289"/>
      <c r="G6" s="289"/>
      <c r="H6" s="289"/>
      <c r="I6" s="289"/>
    </row>
    <row r="7" spans="1:9" ht="18.75" customHeight="1" x14ac:dyDescent="0.25">
      <c r="A7" s="289"/>
      <c r="B7" s="289"/>
      <c r="C7" s="289"/>
      <c r="D7" s="289"/>
      <c r="E7" s="289"/>
      <c r="F7" s="289"/>
      <c r="G7" s="289"/>
      <c r="H7" s="289"/>
      <c r="I7" s="289"/>
    </row>
    <row r="8" spans="1:9" x14ac:dyDescent="0.25">
      <c r="A8" s="290" t="s">
        <v>26</v>
      </c>
      <c r="B8" s="290"/>
      <c r="C8" s="290"/>
      <c r="D8" s="290"/>
      <c r="E8" s="290"/>
      <c r="F8" s="290"/>
      <c r="G8" s="290"/>
      <c r="H8" s="290"/>
      <c r="I8" s="290"/>
    </row>
    <row r="9" spans="1:9" x14ac:dyDescent="0.25">
      <c r="A9" s="290"/>
      <c r="B9" s="290"/>
      <c r="C9" s="290"/>
      <c r="D9" s="290"/>
      <c r="E9" s="290"/>
      <c r="F9" s="290"/>
      <c r="G9" s="290"/>
      <c r="H9" s="290"/>
      <c r="I9" s="290"/>
    </row>
    <row r="10" spans="1:9" x14ac:dyDescent="0.25">
      <c r="A10" s="290"/>
      <c r="B10" s="290"/>
      <c r="C10" s="290"/>
      <c r="D10" s="290"/>
      <c r="E10" s="290"/>
      <c r="F10" s="290"/>
      <c r="G10" s="290"/>
      <c r="H10" s="290"/>
      <c r="I10" s="290"/>
    </row>
    <row r="11" spans="1:9" x14ac:dyDescent="0.25">
      <c r="A11" s="290"/>
      <c r="B11" s="290"/>
      <c r="C11" s="290"/>
      <c r="D11" s="290"/>
      <c r="E11" s="290"/>
      <c r="F11" s="290"/>
      <c r="G11" s="290"/>
      <c r="H11" s="290"/>
      <c r="I11" s="290"/>
    </row>
    <row r="12" spans="1:9" x14ac:dyDescent="0.25">
      <c r="A12" s="290"/>
      <c r="B12" s="290"/>
      <c r="C12" s="290"/>
      <c r="D12" s="290"/>
      <c r="E12" s="290"/>
      <c r="F12" s="290"/>
      <c r="G12" s="290"/>
      <c r="H12" s="290"/>
      <c r="I12" s="290"/>
    </row>
    <row r="13" spans="1:9" x14ac:dyDescent="0.25">
      <c r="A13" s="290"/>
      <c r="B13" s="290"/>
      <c r="C13" s="290"/>
      <c r="D13" s="290"/>
      <c r="E13" s="290"/>
      <c r="F13" s="290"/>
      <c r="G13" s="290"/>
      <c r="H13" s="290"/>
      <c r="I13" s="290"/>
    </row>
    <row r="14" spans="1:9" x14ac:dyDescent="0.25">
      <c r="A14" s="290"/>
      <c r="B14" s="290"/>
      <c r="C14" s="290"/>
      <c r="D14" s="290"/>
      <c r="E14" s="290"/>
      <c r="F14" s="290"/>
      <c r="G14" s="290"/>
      <c r="H14" s="290"/>
      <c r="I14" s="290"/>
    </row>
    <row r="15" spans="1:9" ht="19.5" customHeight="1" x14ac:dyDescent="0.3">
      <c r="A15" s="48"/>
    </row>
    <row r="16" spans="1:9" ht="19.5" customHeight="1" x14ac:dyDescent="0.3">
      <c r="A16" s="323" t="s">
        <v>0</v>
      </c>
      <c r="B16" s="324"/>
      <c r="C16" s="324"/>
      <c r="D16" s="324"/>
      <c r="E16" s="324"/>
      <c r="F16" s="324"/>
      <c r="G16" s="324"/>
      <c r="H16" s="325"/>
    </row>
    <row r="17" spans="1:14" ht="20.25" customHeight="1" x14ac:dyDescent="0.25">
      <c r="A17" s="326" t="s">
        <v>27</v>
      </c>
      <c r="B17" s="326"/>
      <c r="C17" s="326"/>
      <c r="D17" s="326"/>
      <c r="E17" s="326"/>
      <c r="F17" s="326"/>
      <c r="G17" s="326"/>
      <c r="H17" s="326"/>
    </row>
    <row r="18" spans="1:14" ht="26.25" customHeight="1" x14ac:dyDescent="0.4">
      <c r="A18" s="50" t="s">
        <v>2</v>
      </c>
      <c r="B18" s="322" t="s">
        <v>127</v>
      </c>
      <c r="C18" s="322"/>
      <c r="D18" s="216"/>
      <c r="E18" s="51"/>
      <c r="F18" s="52"/>
      <c r="G18" s="52"/>
      <c r="H18" s="52"/>
    </row>
    <row r="19" spans="1:14" ht="26.25" customHeight="1" x14ac:dyDescent="0.4">
      <c r="A19" s="50" t="s">
        <v>4</v>
      </c>
      <c r="B19" s="53" t="s">
        <v>5</v>
      </c>
      <c r="C19" s="218">
        <v>1</v>
      </c>
      <c r="D19" s="52"/>
      <c r="E19" s="52"/>
      <c r="F19" s="52"/>
      <c r="G19" s="52"/>
      <c r="H19" s="52"/>
    </row>
    <row r="20" spans="1:14" ht="26.25" customHeight="1" x14ac:dyDescent="0.4">
      <c r="A20" s="50" t="s">
        <v>6</v>
      </c>
      <c r="B20" s="327" t="s">
        <v>7</v>
      </c>
      <c r="C20" s="327"/>
      <c r="D20" s="52"/>
      <c r="E20" s="52"/>
      <c r="F20" s="52"/>
      <c r="G20" s="52"/>
      <c r="H20" s="52"/>
    </row>
    <row r="21" spans="1:14" ht="26.25" customHeight="1" x14ac:dyDescent="0.4">
      <c r="A21" s="50" t="s">
        <v>8</v>
      </c>
      <c r="B21" s="327" t="s">
        <v>9</v>
      </c>
      <c r="C21" s="327"/>
      <c r="D21" s="327"/>
      <c r="E21" s="327"/>
      <c r="F21" s="327"/>
      <c r="G21" s="327"/>
      <c r="H21" s="327"/>
      <c r="I21" s="54"/>
    </row>
    <row r="22" spans="1:14" ht="26.25" customHeight="1" x14ac:dyDescent="0.4">
      <c r="A22" s="50" t="s">
        <v>10</v>
      </c>
      <c r="B22" s="55">
        <v>42186</v>
      </c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12</v>
      </c>
      <c r="B23" s="55">
        <v>42188</v>
      </c>
      <c r="C23" s="52"/>
      <c r="D23" s="52"/>
      <c r="E23" s="52"/>
      <c r="F23" s="52"/>
      <c r="G23" s="52"/>
      <c r="H23" s="52"/>
    </row>
    <row r="24" spans="1:14" ht="18.75" x14ac:dyDescent="0.3">
      <c r="A24" s="50"/>
      <c r="B24" s="56"/>
    </row>
    <row r="25" spans="1:14" ht="18.75" x14ac:dyDescent="0.3">
      <c r="A25" s="57" t="s">
        <v>13</v>
      </c>
      <c r="B25" s="56"/>
    </row>
    <row r="26" spans="1:14" ht="26.25" customHeight="1" x14ac:dyDescent="0.4">
      <c r="A26" s="58" t="s">
        <v>28</v>
      </c>
      <c r="B26" s="322" t="s">
        <v>107</v>
      </c>
      <c r="C26" s="322"/>
    </row>
    <row r="27" spans="1:14" ht="26.25" customHeight="1" x14ac:dyDescent="0.4">
      <c r="A27" s="59" t="s">
        <v>29</v>
      </c>
      <c r="B27" s="320" t="s">
        <v>108</v>
      </c>
      <c r="C27" s="320"/>
    </row>
    <row r="28" spans="1:14" ht="27" customHeight="1" x14ac:dyDescent="0.4">
      <c r="A28" s="59" t="s">
        <v>30</v>
      </c>
      <c r="B28" s="60">
        <v>99.4</v>
      </c>
    </row>
    <row r="29" spans="1:14" s="15" customFormat="1" ht="27" customHeight="1" x14ac:dyDescent="0.4">
      <c r="A29" s="59" t="s">
        <v>31</v>
      </c>
      <c r="B29" s="61"/>
      <c r="C29" s="297" t="s">
        <v>32</v>
      </c>
      <c r="D29" s="298"/>
      <c r="E29" s="298"/>
      <c r="F29" s="298"/>
      <c r="G29" s="299"/>
      <c r="I29" s="62"/>
      <c r="J29" s="62"/>
      <c r="K29" s="62"/>
      <c r="L29" s="62"/>
    </row>
    <row r="30" spans="1:14" s="15" customFormat="1" ht="19.5" customHeight="1" x14ac:dyDescent="0.3">
      <c r="A30" s="59" t="s">
        <v>33</v>
      </c>
      <c r="B30" s="63">
        <f>B28-B29</f>
        <v>99.4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5" customFormat="1" ht="27" customHeight="1" x14ac:dyDescent="0.4">
      <c r="A31" s="59" t="s">
        <v>34</v>
      </c>
      <c r="B31" s="66">
        <v>1</v>
      </c>
      <c r="C31" s="300" t="s">
        <v>35</v>
      </c>
      <c r="D31" s="301"/>
      <c r="E31" s="301"/>
      <c r="F31" s="301"/>
      <c r="G31" s="301"/>
      <c r="H31" s="302"/>
      <c r="I31" s="62"/>
      <c r="J31" s="62"/>
      <c r="K31" s="62"/>
      <c r="L31" s="62"/>
    </row>
    <row r="32" spans="1:14" s="15" customFormat="1" ht="27" customHeight="1" x14ac:dyDescent="0.4">
      <c r="A32" s="59" t="s">
        <v>36</v>
      </c>
      <c r="B32" s="66">
        <v>1</v>
      </c>
      <c r="C32" s="300" t="s">
        <v>37</v>
      </c>
      <c r="D32" s="301"/>
      <c r="E32" s="301"/>
      <c r="F32" s="301"/>
      <c r="G32" s="301"/>
      <c r="H32" s="302"/>
      <c r="I32" s="62"/>
      <c r="J32" s="62"/>
      <c r="K32" s="62"/>
      <c r="L32" s="67"/>
      <c r="M32" s="67"/>
      <c r="N32" s="68"/>
    </row>
    <row r="33" spans="1:14" s="15" customFormat="1" ht="17.25" customHeight="1" x14ac:dyDescent="0.3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5" customFormat="1" ht="18.75" x14ac:dyDescent="0.3">
      <c r="A34" s="59" t="s">
        <v>38</v>
      </c>
      <c r="B34" s="71">
        <f>B31/B32</f>
        <v>1</v>
      </c>
      <c r="C34" s="49" t="s">
        <v>39</v>
      </c>
      <c r="D34" s="49"/>
      <c r="E34" s="49"/>
      <c r="F34" s="49"/>
      <c r="G34" s="49"/>
      <c r="I34" s="62"/>
      <c r="J34" s="62"/>
      <c r="K34" s="62"/>
      <c r="L34" s="67"/>
      <c r="M34" s="67"/>
      <c r="N34" s="68"/>
    </row>
    <row r="35" spans="1:14" s="15" customFormat="1" ht="19.5" customHeight="1" x14ac:dyDescent="0.3">
      <c r="A35" s="59"/>
      <c r="B35" s="63"/>
      <c r="G35" s="49"/>
      <c r="I35" s="62"/>
      <c r="J35" s="62"/>
      <c r="K35" s="62"/>
      <c r="L35" s="67"/>
      <c r="M35" s="67"/>
      <c r="N35" s="68"/>
    </row>
    <row r="36" spans="1:14" s="15" customFormat="1" ht="27" customHeight="1" x14ac:dyDescent="0.4">
      <c r="A36" s="72" t="s">
        <v>40</v>
      </c>
      <c r="B36" s="73">
        <v>50</v>
      </c>
      <c r="C36" s="49"/>
      <c r="D36" s="303" t="s">
        <v>41</v>
      </c>
      <c r="E36" s="321"/>
      <c r="F36" s="303" t="s">
        <v>42</v>
      </c>
      <c r="G36" s="304"/>
      <c r="J36" s="62"/>
      <c r="K36" s="62"/>
      <c r="L36" s="67"/>
      <c r="M36" s="67"/>
      <c r="N36" s="68"/>
    </row>
    <row r="37" spans="1:14" s="15" customFormat="1" ht="27" customHeight="1" x14ac:dyDescent="0.4">
      <c r="A37" s="74" t="s">
        <v>43</v>
      </c>
      <c r="B37" s="75">
        <v>4</v>
      </c>
      <c r="C37" s="76" t="s">
        <v>44</v>
      </c>
      <c r="D37" s="77" t="s">
        <v>45</v>
      </c>
      <c r="E37" s="78" t="s">
        <v>46</v>
      </c>
      <c r="F37" s="77" t="s">
        <v>45</v>
      </c>
      <c r="G37" s="79" t="s">
        <v>46</v>
      </c>
      <c r="I37" s="80" t="s">
        <v>47</v>
      </c>
      <c r="J37" s="62"/>
      <c r="K37" s="62"/>
      <c r="L37" s="67"/>
      <c r="M37" s="67"/>
      <c r="N37" s="68"/>
    </row>
    <row r="38" spans="1:14" s="15" customFormat="1" ht="26.25" customHeight="1" x14ac:dyDescent="0.4">
      <c r="A38" s="74" t="s">
        <v>48</v>
      </c>
      <c r="B38" s="75">
        <v>50</v>
      </c>
      <c r="C38" s="81">
        <v>1</v>
      </c>
      <c r="D38" s="82">
        <v>42952106</v>
      </c>
      <c r="E38" s="83">
        <f>IF(ISBLANK(D38),"-",$D$48/$D$45*D38)</f>
        <v>41952790.52958528</v>
      </c>
      <c r="F38" s="82">
        <v>27400378</v>
      </c>
      <c r="G38" s="84">
        <f>IF(ISBLANK(F38),"-",$D$48/$F$45*F38)</f>
        <v>42046633.062560849</v>
      </c>
      <c r="I38" s="85"/>
      <c r="J38" s="62"/>
      <c r="K38" s="62"/>
      <c r="L38" s="67"/>
      <c r="M38" s="67"/>
      <c r="N38" s="68"/>
    </row>
    <row r="39" spans="1:14" s="15" customFormat="1" ht="26.25" customHeight="1" x14ac:dyDescent="0.4">
      <c r="A39" s="74" t="s">
        <v>49</v>
      </c>
      <c r="B39" s="75">
        <v>1</v>
      </c>
      <c r="C39" s="86">
        <v>2</v>
      </c>
      <c r="D39" s="87">
        <v>42997240</v>
      </c>
      <c r="E39" s="88">
        <f>IF(ISBLANK(D39),"-",$D$48/$D$45*D39)</f>
        <v>41996874.450587019</v>
      </c>
      <c r="F39" s="87">
        <v>27306463</v>
      </c>
      <c r="G39" s="89">
        <f>IF(ISBLANK(F39),"-",$D$48/$F$45*F39)</f>
        <v>41902517.914073832</v>
      </c>
      <c r="I39" s="305">
        <f>ABS((F43/D43*D42)-F42)/D42</f>
        <v>4.7334360562082081E-5</v>
      </c>
      <c r="J39" s="62"/>
      <c r="K39" s="62"/>
      <c r="L39" s="67"/>
      <c r="M39" s="67"/>
      <c r="N39" s="68"/>
    </row>
    <row r="40" spans="1:14" ht="26.25" customHeight="1" x14ac:dyDescent="0.4">
      <c r="A40" s="74" t="s">
        <v>50</v>
      </c>
      <c r="B40" s="75">
        <v>1</v>
      </c>
      <c r="C40" s="86">
        <v>3</v>
      </c>
      <c r="D40" s="87">
        <v>42725783</v>
      </c>
      <c r="E40" s="88">
        <f>IF(ISBLANK(D40),"-",$D$48/$D$45*D40)</f>
        <v>41731733.117149495</v>
      </c>
      <c r="F40" s="87">
        <v>27201594</v>
      </c>
      <c r="G40" s="89">
        <f>IF(ISBLANK(F40),"-",$D$48/$F$45*F40)</f>
        <v>41741593.551547237</v>
      </c>
      <c r="I40" s="305"/>
      <c r="L40" s="67"/>
      <c r="M40" s="67"/>
      <c r="N40" s="90"/>
    </row>
    <row r="41" spans="1:14" ht="27" customHeight="1" x14ac:dyDescent="0.4">
      <c r="A41" s="74" t="s">
        <v>51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/>
      <c r="I41" s="95"/>
      <c r="L41" s="67"/>
      <c r="M41" s="67"/>
      <c r="N41" s="90"/>
    </row>
    <row r="42" spans="1:14" ht="27" customHeight="1" x14ac:dyDescent="0.4">
      <c r="A42" s="74" t="s">
        <v>52</v>
      </c>
      <c r="B42" s="75">
        <v>1</v>
      </c>
      <c r="C42" s="96" t="s">
        <v>53</v>
      </c>
      <c r="D42" s="97">
        <f>AVERAGE(D38:D41)</f>
        <v>42891709.666666664</v>
      </c>
      <c r="E42" s="98">
        <f>AVERAGE(E38:E41)</f>
        <v>41893799.365773939</v>
      </c>
      <c r="F42" s="97">
        <f>AVERAGE(F38:F41)</f>
        <v>27302811.666666668</v>
      </c>
      <c r="G42" s="99">
        <f>AVERAGE(G38:G41)</f>
        <v>41896914.842727304</v>
      </c>
      <c r="H42" s="100"/>
    </row>
    <row r="43" spans="1:14" ht="26.25" customHeight="1" x14ac:dyDescent="0.4">
      <c r="A43" s="74" t="s">
        <v>54</v>
      </c>
      <c r="B43" s="75">
        <v>1</v>
      </c>
      <c r="C43" s="101" t="s">
        <v>55</v>
      </c>
      <c r="D43" s="102">
        <v>25.75</v>
      </c>
      <c r="E43" s="90"/>
      <c r="F43" s="102">
        <v>16.39</v>
      </c>
      <c r="H43" s="100"/>
    </row>
    <row r="44" spans="1:14" ht="26.25" customHeight="1" x14ac:dyDescent="0.4">
      <c r="A44" s="74" t="s">
        <v>56</v>
      </c>
      <c r="B44" s="75">
        <v>1</v>
      </c>
      <c r="C44" s="103" t="s">
        <v>57</v>
      </c>
      <c r="D44" s="104">
        <f>D43*$B$34</f>
        <v>25.75</v>
      </c>
      <c r="E44" s="105"/>
      <c r="F44" s="104">
        <f>F43*$B$34</f>
        <v>16.39</v>
      </c>
      <c r="H44" s="100"/>
    </row>
    <row r="45" spans="1:14" ht="19.5" customHeight="1" x14ac:dyDescent="0.3">
      <c r="A45" s="74" t="s">
        <v>58</v>
      </c>
      <c r="B45" s="106">
        <f>(B44/B43)*(B42/B41)*(B40/B39)*(B38/B37)*B36</f>
        <v>625</v>
      </c>
      <c r="C45" s="103" t="s">
        <v>59</v>
      </c>
      <c r="D45" s="107">
        <f>D44*$B$30/100</f>
        <v>25.595500000000001</v>
      </c>
      <c r="E45" s="108"/>
      <c r="F45" s="107">
        <f>F44*$B$30/100</f>
        <v>16.29166</v>
      </c>
      <c r="H45" s="100"/>
    </row>
    <row r="46" spans="1:14" ht="19.5" customHeight="1" x14ac:dyDescent="0.3">
      <c r="A46" s="291" t="s">
        <v>60</v>
      </c>
      <c r="B46" s="292"/>
      <c r="C46" s="103" t="s">
        <v>61</v>
      </c>
      <c r="D46" s="109">
        <f>D45/$B$45</f>
        <v>4.0952800000000004E-2</v>
      </c>
      <c r="E46" s="110"/>
      <c r="F46" s="111">
        <f>F45/$B$45</f>
        <v>2.6066656000000001E-2</v>
      </c>
      <c r="H46" s="100"/>
    </row>
    <row r="47" spans="1:14" ht="27" customHeight="1" x14ac:dyDescent="0.4">
      <c r="A47" s="293"/>
      <c r="B47" s="294"/>
      <c r="C47" s="112" t="s">
        <v>62</v>
      </c>
      <c r="D47" s="113">
        <v>0.04</v>
      </c>
      <c r="E47" s="114"/>
      <c r="F47" s="110"/>
      <c r="H47" s="100"/>
    </row>
    <row r="48" spans="1:14" ht="18.75" x14ac:dyDescent="0.3">
      <c r="C48" s="115" t="s">
        <v>63</v>
      </c>
      <c r="D48" s="107">
        <f>D47*$B$45</f>
        <v>25</v>
      </c>
      <c r="F48" s="116"/>
      <c r="H48" s="100"/>
    </row>
    <row r="49" spans="1:12" ht="19.5" customHeight="1" x14ac:dyDescent="0.3">
      <c r="C49" s="117" t="s">
        <v>64</v>
      </c>
      <c r="D49" s="118">
        <f>D48/B34</f>
        <v>25</v>
      </c>
      <c r="F49" s="116"/>
      <c r="H49" s="100"/>
    </row>
    <row r="50" spans="1:12" ht="18.75" x14ac:dyDescent="0.3">
      <c r="C50" s="72" t="s">
        <v>65</v>
      </c>
      <c r="D50" s="119">
        <f>AVERAGE(E38:E41,G38:G41)</f>
        <v>41895357.104250617</v>
      </c>
      <c r="F50" s="120"/>
      <c r="H50" s="100"/>
    </row>
    <row r="51" spans="1:12" ht="18.75" x14ac:dyDescent="0.3">
      <c r="C51" s="74" t="s">
        <v>66</v>
      </c>
      <c r="D51" s="121">
        <f>STDEV(E38:E41,G38:G41)/D50</f>
        <v>3.1477420295881256E-3</v>
      </c>
      <c r="F51" s="120"/>
      <c r="H51" s="100"/>
    </row>
    <row r="52" spans="1:12" ht="19.5" customHeight="1" x14ac:dyDescent="0.3">
      <c r="C52" s="122" t="s">
        <v>67</v>
      </c>
      <c r="D52" s="123">
        <f>COUNT(E38:E41,G38:G41)</f>
        <v>6</v>
      </c>
      <c r="F52" s="120"/>
    </row>
    <row r="54" spans="1:12" ht="18.75" x14ac:dyDescent="0.3">
      <c r="A54" s="124" t="s">
        <v>13</v>
      </c>
      <c r="B54" s="125" t="s">
        <v>68</v>
      </c>
    </row>
    <row r="55" spans="1:12" ht="18.75" x14ac:dyDescent="0.3">
      <c r="A55" s="49" t="s">
        <v>69</v>
      </c>
      <c r="B55" s="126" t="str">
        <f>B21</f>
        <v>Tadalafil BP 20mg per Tablet</v>
      </c>
    </row>
    <row r="56" spans="1:12" ht="26.25" customHeight="1" x14ac:dyDescent="0.4">
      <c r="A56" s="127" t="s">
        <v>70</v>
      </c>
      <c r="B56" s="128">
        <v>20</v>
      </c>
      <c r="C56" s="49" t="str">
        <f>B20</f>
        <v>Tadalafil BP</v>
      </c>
      <c r="H56" s="129"/>
    </row>
    <row r="57" spans="1:12" ht="18.75" x14ac:dyDescent="0.3">
      <c r="A57" s="126" t="s">
        <v>71</v>
      </c>
      <c r="B57" s="217">
        <f>Uniformity!C46</f>
        <v>455.34750000000003</v>
      </c>
      <c r="H57" s="129"/>
    </row>
    <row r="58" spans="1:12" ht="19.5" customHeight="1" x14ac:dyDescent="0.3">
      <c r="H58" s="129"/>
    </row>
    <row r="59" spans="1:12" s="15" customFormat="1" ht="27" customHeight="1" x14ac:dyDescent="0.4">
      <c r="A59" s="72" t="s">
        <v>72</v>
      </c>
      <c r="B59" s="73">
        <v>50</v>
      </c>
      <c r="C59" s="49"/>
      <c r="D59" s="130" t="s">
        <v>73</v>
      </c>
      <c r="E59" s="131" t="s">
        <v>44</v>
      </c>
      <c r="F59" s="131" t="s">
        <v>45</v>
      </c>
      <c r="G59" s="131" t="s">
        <v>74</v>
      </c>
      <c r="H59" s="76" t="s">
        <v>75</v>
      </c>
      <c r="L59" s="62"/>
    </row>
    <row r="60" spans="1:12" s="15" customFormat="1" ht="26.25" customHeight="1" x14ac:dyDescent="0.4">
      <c r="A60" s="74" t="s">
        <v>76</v>
      </c>
      <c r="B60" s="75">
        <v>5</v>
      </c>
      <c r="C60" s="308" t="s">
        <v>77</v>
      </c>
      <c r="D60" s="311">
        <v>458.16</v>
      </c>
      <c r="E60" s="132">
        <v>1</v>
      </c>
      <c r="F60" s="133">
        <v>39476908</v>
      </c>
      <c r="G60" s="219">
        <f>IF(ISBLANK(F60),"-",(F60/$D$50*$D$47*$B$68)*($B$57/$D$60))</f>
        <v>18.729794613019671</v>
      </c>
      <c r="H60" s="134">
        <f>IF(ISBLANK(F60),"-",G60/$B$56)</f>
        <v>0.93648973065098351</v>
      </c>
      <c r="L60" s="62"/>
    </row>
    <row r="61" spans="1:12" s="15" customFormat="1" ht="26.25" customHeight="1" x14ac:dyDescent="0.4">
      <c r="A61" s="74" t="s">
        <v>78</v>
      </c>
      <c r="B61" s="75">
        <v>50</v>
      </c>
      <c r="C61" s="309"/>
      <c r="D61" s="312"/>
      <c r="E61" s="135">
        <v>2</v>
      </c>
      <c r="F61" s="87">
        <v>39832825</v>
      </c>
      <c r="G61" s="220">
        <f>IF(ISBLANK(F61),"-",(F61/$D$50*$D$47*$B$68)*($B$57/$D$60))</f>
        <v>18.898659213795447</v>
      </c>
      <c r="H61" s="136">
        <f>IF(ISBLANK(F61),"-",G61/$B$56)</f>
        <v>0.94493296068977239</v>
      </c>
      <c r="L61" s="62"/>
    </row>
    <row r="62" spans="1:12" s="15" customFormat="1" ht="26.25" customHeight="1" x14ac:dyDescent="0.4">
      <c r="A62" s="74" t="s">
        <v>79</v>
      </c>
      <c r="B62" s="75">
        <v>1</v>
      </c>
      <c r="C62" s="309"/>
      <c r="D62" s="312"/>
      <c r="E62" s="135">
        <v>3</v>
      </c>
      <c r="F62" s="137">
        <v>39438125</v>
      </c>
      <c r="G62" s="220">
        <f>IF(ISBLANK(F62),"-",(F62/$D$50*$D$47*$B$68)*($B$57/$D$60))</f>
        <v>18.711394042628577</v>
      </c>
      <c r="H62" s="136">
        <f t="shared" ref="H62:H70" si="0">IF(ISBLANK(F62),"-",G62/$B$56)</f>
        <v>0.93556970213142887</v>
      </c>
      <c r="L62" s="62"/>
    </row>
    <row r="63" spans="1:12" ht="27" customHeight="1" x14ac:dyDescent="0.4">
      <c r="A63" s="74" t="s">
        <v>80</v>
      </c>
      <c r="B63" s="75">
        <v>1</v>
      </c>
      <c r="C63" s="319"/>
      <c r="D63" s="313"/>
      <c r="E63" s="138">
        <v>4</v>
      </c>
      <c r="F63" s="139"/>
      <c r="G63" s="220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4" t="s">
        <v>81</v>
      </c>
      <c r="B64" s="75">
        <v>1</v>
      </c>
      <c r="C64" s="308" t="s">
        <v>82</v>
      </c>
      <c r="D64" s="311">
        <v>454.51</v>
      </c>
      <c r="E64" s="132">
        <v>1</v>
      </c>
      <c r="F64" s="133">
        <v>40226123</v>
      </c>
      <c r="G64" s="221">
        <f>IF(ISBLANK(F64),"-",(F64/$D$50*$D$47*$B$68)*($B$57/$D$64))</f>
        <v>19.238525793153794</v>
      </c>
      <c r="H64" s="140">
        <f>IF(ISBLANK(F64),"-",G64/$B$56)</f>
        <v>0.96192628965768967</v>
      </c>
    </row>
    <row r="65" spans="1:8" ht="26.25" customHeight="1" x14ac:dyDescent="0.4">
      <c r="A65" s="74" t="s">
        <v>83</v>
      </c>
      <c r="B65" s="75">
        <v>1</v>
      </c>
      <c r="C65" s="309"/>
      <c r="D65" s="312"/>
      <c r="E65" s="135">
        <v>2</v>
      </c>
      <c r="F65" s="87">
        <v>40236547</v>
      </c>
      <c r="G65" s="222">
        <f>IF(ISBLANK(F65),"-",(F65/$D$50*$D$47*$B$68)*($B$57/$D$64))</f>
        <v>19.243511170264778</v>
      </c>
      <c r="H65" s="141">
        <f t="shared" si="0"/>
        <v>0.96217555851323888</v>
      </c>
    </row>
    <row r="66" spans="1:8" ht="26.25" customHeight="1" x14ac:dyDescent="0.4">
      <c r="A66" s="74" t="s">
        <v>84</v>
      </c>
      <c r="B66" s="75">
        <v>1</v>
      </c>
      <c r="C66" s="309"/>
      <c r="D66" s="312"/>
      <c r="E66" s="135">
        <v>3</v>
      </c>
      <c r="F66" s="87">
        <v>40285655</v>
      </c>
      <c r="G66" s="222">
        <f>IF(ISBLANK(F66),"-",(F66/$D$50*$D$47*$B$68)*($B$57/$D$64))</f>
        <v>19.266997538181723</v>
      </c>
      <c r="H66" s="141">
        <f t="shared" si="0"/>
        <v>0.96334987690908613</v>
      </c>
    </row>
    <row r="67" spans="1:8" ht="27" customHeight="1" x14ac:dyDescent="0.4">
      <c r="A67" s="74" t="s">
        <v>85</v>
      </c>
      <c r="B67" s="75">
        <v>1</v>
      </c>
      <c r="C67" s="319"/>
      <c r="D67" s="313"/>
      <c r="E67" s="138">
        <v>4</v>
      </c>
      <c r="F67" s="139"/>
      <c r="G67" s="223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4" t="s">
        <v>86</v>
      </c>
      <c r="B68" s="143">
        <f>(B67/B66)*(B65/B64)*(B63/B62)*(B61/B60)*B59</f>
        <v>500</v>
      </c>
      <c r="C68" s="308" t="s">
        <v>87</v>
      </c>
      <c r="D68" s="311">
        <v>454.48</v>
      </c>
      <c r="E68" s="132">
        <v>1</v>
      </c>
      <c r="F68" s="133">
        <v>40665852</v>
      </c>
      <c r="G68" s="221">
        <f>IF(ISBLANK(F68),"-",(F68/$D$50*$D$47*$B$68)*($B$57/$D$68))</f>
        <v>19.45011417600254</v>
      </c>
      <c r="H68" s="136">
        <f>IF(ISBLANK(F68),"-",G68/$B$56)</f>
        <v>0.97250570880012699</v>
      </c>
    </row>
    <row r="69" spans="1:8" ht="27" customHeight="1" x14ac:dyDescent="0.4">
      <c r="A69" s="122" t="s">
        <v>88</v>
      </c>
      <c r="B69" s="144">
        <f>(D47*B68)/B56*B57</f>
        <v>455.34750000000003</v>
      </c>
      <c r="C69" s="309"/>
      <c r="D69" s="312"/>
      <c r="E69" s="135">
        <v>2</v>
      </c>
      <c r="F69" s="87">
        <v>40679987</v>
      </c>
      <c r="G69" s="222">
        <f>IF(ISBLANK(F69),"-",(F69/$D$50*$D$47*$B$68)*($B$57/$D$68))</f>
        <v>19.4568748203849</v>
      </c>
      <c r="H69" s="136">
        <f t="shared" si="0"/>
        <v>0.97284374101924498</v>
      </c>
    </row>
    <row r="70" spans="1:8" ht="26.25" customHeight="1" x14ac:dyDescent="0.4">
      <c r="A70" s="314" t="s">
        <v>60</v>
      </c>
      <c r="B70" s="315"/>
      <c r="C70" s="309"/>
      <c r="D70" s="312"/>
      <c r="E70" s="135">
        <v>3</v>
      </c>
      <c r="F70" s="87">
        <v>40138329</v>
      </c>
      <c r="G70" s="222">
        <f>IF(ISBLANK(F70),"-",(F70/$D$50*$D$47*$B$68)*($B$57/$D$68))</f>
        <v>19.19780463185559</v>
      </c>
      <c r="H70" s="136">
        <f t="shared" si="0"/>
        <v>0.95989023159277953</v>
      </c>
    </row>
    <row r="71" spans="1:8" ht="27" customHeight="1" x14ac:dyDescent="0.4">
      <c r="A71" s="316"/>
      <c r="B71" s="317"/>
      <c r="C71" s="310"/>
      <c r="D71" s="313"/>
      <c r="E71" s="138">
        <v>4</v>
      </c>
      <c r="F71" s="139"/>
      <c r="G71" s="223"/>
      <c r="H71" s="145"/>
    </row>
    <row r="72" spans="1:8" ht="26.25" customHeight="1" x14ac:dyDescent="0.4">
      <c r="A72" s="146"/>
      <c r="B72" s="146"/>
      <c r="C72" s="146"/>
      <c r="D72" s="146"/>
      <c r="E72" s="146"/>
      <c r="F72" s="147"/>
      <c r="G72" s="148" t="s">
        <v>53</v>
      </c>
      <c r="H72" s="149">
        <f>AVERAGE(H60:H71)</f>
        <v>0.95663153332937234</v>
      </c>
    </row>
    <row r="73" spans="1:8" ht="26.25" customHeight="1" x14ac:dyDescent="0.4">
      <c r="C73" s="146"/>
      <c r="D73" s="146"/>
      <c r="E73" s="146"/>
      <c r="F73" s="147"/>
      <c r="G73" s="150" t="s">
        <v>66</v>
      </c>
      <c r="H73" s="224">
        <f>STDEV(H60:H71)/H72</f>
        <v>1.4854699632151072E-2</v>
      </c>
    </row>
    <row r="74" spans="1:8" ht="27" customHeight="1" x14ac:dyDescent="0.4">
      <c r="A74" s="146"/>
      <c r="B74" s="146"/>
      <c r="C74" s="147"/>
      <c r="D74" s="147"/>
      <c r="E74" s="151"/>
      <c r="F74" s="147"/>
      <c r="G74" s="152" t="s">
        <v>67</v>
      </c>
      <c r="H74" s="153">
        <f>COUNT(H60:H71)</f>
        <v>9</v>
      </c>
    </row>
    <row r="76" spans="1:8" ht="26.25" customHeight="1" x14ac:dyDescent="0.4">
      <c r="A76" s="58" t="s">
        <v>89</v>
      </c>
      <c r="B76" s="154" t="s">
        <v>90</v>
      </c>
      <c r="C76" s="295" t="str">
        <f>B20</f>
        <v>Tadalafil BP</v>
      </c>
      <c r="D76" s="295"/>
      <c r="E76" s="155" t="s">
        <v>91</v>
      </c>
      <c r="F76" s="155"/>
      <c r="G76" s="156">
        <f>H72</f>
        <v>0.95663153332937234</v>
      </c>
      <c r="H76" s="157"/>
    </row>
    <row r="77" spans="1:8" ht="18.75" x14ac:dyDescent="0.3">
      <c r="A77" s="57" t="s">
        <v>92</v>
      </c>
      <c r="B77" s="57" t="s">
        <v>93</v>
      </c>
    </row>
    <row r="78" spans="1:8" ht="18.75" x14ac:dyDescent="0.3">
      <c r="A78" s="57"/>
      <c r="B78" s="57"/>
    </row>
    <row r="79" spans="1:8" ht="26.25" customHeight="1" x14ac:dyDescent="0.4">
      <c r="A79" s="58" t="s">
        <v>28</v>
      </c>
      <c r="B79" s="318" t="str">
        <f>B26</f>
        <v>Tadalafil</v>
      </c>
      <c r="C79" s="318"/>
    </row>
    <row r="80" spans="1:8" ht="26.25" customHeight="1" x14ac:dyDescent="0.4">
      <c r="A80" s="59" t="s">
        <v>29</v>
      </c>
      <c r="B80" s="318" t="str">
        <f>B27</f>
        <v>T1 2</v>
      </c>
      <c r="C80" s="318"/>
    </row>
    <row r="81" spans="1:12" ht="27" customHeight="1" x14ac:dyDescent="0.4">
      <c r="A81" s="59" t="s">
        <v>30</v>
      </c>
      <c r="B81" s="158">
        <f>B28</f>
        <v>99.4</v>
      </c>
    </row>
    <row r="82" spans="1:12" s="15" customFormat="1" ht="27" customHeight="1" x14ac:dyDescent="0.4">
      <c r="A82" s="59" t="s">
        <v>31</v>
      </c>
      <c r="B82" s="61">
        <v>0</v>
      </c>
      <c r="C82" s="297" t="s">
        <v>32</v>
      </c>
      <c r="D82" s="298"/>
      <c r="E82" s="298"/>
      <c r="F82" s="298"/>
      <c r="G82" s="299"/>
      <c r="I82" s="62"/>
      <c r="J82" s="62"/>
      <c r="K82" s="62"/>
      <c r="L82" s="62"/>
    </row>
    <row r="83" spans="1:12" s="15" customFormat="1" ht="19.5" customHeight="1" x14ac:dyDescent="0.3">
      <c r="A83" s="59" t="s">
        <v>33</v>
      </c>
      <c r="B83" s="63">
        <f>B81-B82</f>
        <v>99.4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5" customFormat="1" ht="27" customHeight="1" x14ac:dyDescent="0.4">
      <c r="A84" s="59" t="s">
        <v>34</v>
      </c>
      <c r="B84" s="66">
        <v>1</v>
      </c>
      <c r="C84" s="300" t="s">
        <v>94</v>
      </c>
      <c r="D84" s="301"/>
      <c r="E84" s="301"/>
      <c r="F84" s="301"/>
      <c r="G84" s="301"/>
      <c r="H84" s="302"/>
      <c r="I84" s="62"/>
      <c r="J84" s="62"/>
      <c r="K84" s="62"/>
      <c r="L84" s="62"/>
    </row>
    <row r="85" spans="1:12" s="15" customFormat="1" ht="27" customHeight="1" x14ac:dyDescent="0.4">
      <c r="A85" s="59" t="s">
        <v>36</v>
      </c>
      <c r="B85" s="66">
        <v>1</v>
      </c>
      <c r="C85" s="300" t="s">
        <v>95</v>
      </c>
      <c r="D85" s="301"/>
      <c r="E85" s="301"/>
      <c r="F85" s="301"/>
      <c r="G85" s="301"/>
      <c r="H85" s="302"/>
      <c r="I85" s="62"/>
      <c r="J85" s="62"/>
      <c r="K85" s="62"/>
      <c r="L85" s="62"/>
    </row>
    <row r="86" spans="1:12" s="15" customFormat="1" ht="18.75" x14ac:dyDescent="0.3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5" customFormat="1" ht="18.75" x14ac:dyDescent="0.3">
      <c r="A87" s="59" t="s">
        <v>38</v>
      </c>
      <c r="B87" s="71">
        <f>B84/B85</f>
        <v>1</v>
      </c>
      <c r="C87" s="49" t="s">
        <v>39</v>
      </c>
      <c r="D87" s="49"/>
      <c r="E87" s="49"/>
      <c r="F87" s="49"/>
      <c r="G87" s="49"/>
      <c r="I87" s="62"/>
      <c r="J87" s="62"/>
      <c r="K87" s="62"/>
      <c r="L87" s="62"/>
    </row>
    <row r="88" spans="1:12" ht="19.5" customHeight="1" x14ac:dyDescent="0.3">
      <c r="A88" s="57"/>
      <c r="B88" s="57"/>
    </row>
    <row r="89" spans="1:12" ht="27" customHeight="1" x14ac:dyDescent="0.4">
      <c r="A89" s="72" t="s">
        <v>40</v>
      </c>
      <c r="B89" s="73">
        <v>50</v>
      </c>
      <c r="D89" s="159" t="s">
        <v>41</v>
      </c>
      <c r="E89" s="160"/>
      <c r="F89" s="303" t="s">
        <v>42</v>
      </c>
      <c r="G89" s="304"/>
    </row>
    <row r="90" spans="1:12" ht="27" customHeight="1" x14ac:dyDescent="0.4">
      <c r="A90" s="74" t="s">
        <v>43</v>
      </c>
      <c r="B90" s="75">
        <v>4</v>
      </c>
      <c r="C90" s="161" t="s">
        <v>44</v>
      </c>
      <c r="D90" s="77" t="s">
        <v>45</v>
      </c>
      <c r="E90" s="78" t="s">
        <v>46</v>
      </c>
      <c r="F90" s="77" t="s">
        <v>45</v>
      </c>
      <c r="G90" s="162" t="s">
        <v>46</v>
      </c>
      <c r="I90" s="80" t="s">
        <v>47</v>
      </c>
    </row>
    <row r="91" spans="1:12" ht="26.25" customHeight="1" x14ac:dyDescent="0.4">
      <c r="A91" s="74" t="s">
        <v>48</v>
      </c>
      <c r="B91" s="75">
        <v>100</v>
      </c>
      <c r="C91" s="163">
        <v>1</v>
      </c>
      <c r="D91" s="82">
        <v>0.68200000000000005</v>
      </c>
      <c r="E91" s="83">
        <f>IF(ISBLANK(D91),"-",$D$101/$D$98*D91)</f>
        <v>0.66613271864194878</v>
      </c>
      <c r="F91" s="82">
        <v>0.435</v>
      </c>
      <c r="G91" s="84">
        <f>IF(ISBLANK(F91),"-",$D$101/$F$98*F91)</f>
        <v>0.66751945473941887</v>
      </c>
      <c r="I91" s="85"/>
    </row>
    <row r="92" spans="1:12" ht="26.25" customHeight="1" x14ac:dyDescent="0.4">
      <c r="A92" s="74" t="s">
        <v>49</v>
      </c>
      <c r="B92" s="75">
        <v>1</v>
      </c>
      <c r="C92" s="147">
        <v>2</v>
      </c>
      <c r="D92" s="87">
        <v>0.68200000000000005</v>
      </c>
      <c r="E92" s="88">
        <f>IF(ISBLANK(D92),"-",$D$101/$D$98*D92)</f>
        <v>0.66613271864194878</v>
      </c>
      <c r="F92" s="87">
        <v>0.436</v>
      </c>
      <c r="G92" s="89">
        <f>IF(ISBLANK(F92),"-",$D$101/$F$98*F92)</f>
        <v>0.66905398222157841</v>
      </c>
      <c r="I92" s="305">
        <f>ABS((F96/D96*D95)-F95)/D95</f>
        <v>2.3025747610775737E-3</v>
      </c>
    </row>
    <row r="93" spans="1:12" ht="26.25" customHeight="1" x14ac:dyDescent="0.4">
      <c r="A93" s="74" t="s">
        <v>50</v>
      </c>
      <c r="B93" s="75">
        <v>1</v>
      </c>
      <c r="C93" s="147">
        <v>3</v>
      </c>
      <c r="D93" s="87">
        <v>0.68200000000000005</v>
      </c>
      <c r="E93" s="88">
        <f>IF(ISBLANK(D93),"-",$D$101/$D$98*D93)</f>
        <v>0.66613271864194878</v>
      </c>
      <c r="F93" s="87">
        <v>0.436</v>
      </c>
      <c r="G93" s="89">
        <f>IF(ISBLANK(F93),"-",$D$101/$F$98*F93)</f>
        <v>0.66905398222157841</v>
      </c>
      <c r="I93" s="305"/>
    </row>
    <row r="94" spans="1:12" ht="27" customHeight="1" x14ac:dyDescent="0.4">
      <c r="A94" s="74" t="s">
        <v>51</v>
      </c>
      <c r="B94" s="75">
        <v>1</v>
      </c>
      <c r="C94" s="164">
        <v>4</v>
      </c>
      <c r="D94" s="92"/>
      <c r="E94" s="93"/>
      <c r="F94" s="165"/>
      <c r="G94" s="94"/>
      <c r="I94" s="95"/>
    </row>
    <row r="95" spans="1:12" ht="27" customHeight="1" x14ac:dyDescent="0.4">
      <c r="A95" s="74" t="s">
        <v>52</v>
      </c>
      <c r="B95" s="75">
        <v>1</v>
      </c>
      <c r="C95" s="166" t="s">
        <v>53</v>
      </c>
      <c r="D95" s="333">
        <f>AVERAGE(D91:D94)</f>
        <v>0.68200000000000005</v>
      </c>
      <c r="E95" s="98">
        <f>AVERAGE(E91:E94)</f>
        <v>0.66613271864194878</v>
      </c>
      <c r="F95" s="332">
        <f>AVERAGE(F91:F94)</f>
        <v>0.43566666666666665</v>
      </c>
      <c r="G95" s="167">
        <f>AVERAGE(G91:G94)</f>
        <v>0.66854247306085846</v>
      </c>
    </row>
    <row r="96" spans="1:12" ht="26.25" customHeight="1" x14ac:dyDescent="0.4">
      <c r="A96" s="74" t="s">
        <v>54</v>
      </c>
      <c r="B96" s="60">
        <v>1</v>
      </c>
      <c r="C96" s="168" t="s">
        <v>96</v>
      </c>
      <c r="D96" s="169">
        <v>25.75</v>
      </c>
      <c r="E96" s="90"/>
      <c r="F96" s="102">
        <v>16.39</v>
      </c>
    </row>
    <row r="97" spans="1:10" ht="26.25" customHeight="1" x14ac:dyDescent="0.4">
      <c r="A97" s="74" t="s">
        <v>56</v>
      </c>
      <c r="B97" s="60">
        <v>1</v>
      </c>
      <c r="C97" s="170" t="s">
        <v>97</v>
      </c>
      <c r="D97" s="171">
        <f>D96*$B$87</f>
        <v>25.75</v>
      </c>
      <c r="E97" s="105"/>
      <c r="F97" s="104">
        <f>F96*$B$87</f>
        <v>16.39</v>
      </c>
    </row>
    <row r="98" spans="1:10" ht="19.5" customHeight="1" x14ac:dyDescent="0.3">
      <c r="A98" s="74" t="s">
        <v>58</v>
      </c>
      <c r="B98" s="172">
        <f>(B97/B96)*(B95/B94)*(B93/B92)*(B91/B90)*B89</f>
        <v>1250</v>
      </c>
      <c r="C98" s="170" t="s">
        <v>98</v>
      </c>
      <c r="D98" s="173">
        <f>D97*$B$83/100</f>
        <v>25.595500000000001</v>
      </c>
      <c r="E98" s="108"/>
      <c r="F98" s="107">
        <f>F97*$B$83/100</f>
        <v>16.29166</v>
      </c>
    </row>
    <row r="99" spans="1:10" ht="19.5" customHeight="1" x14ac:dyDescent="0.3">
      <c r="A99" s="291" t="s">
        <v>60</v>
      </c>
      <c r="B99" s="306"/>
      <c r="C99" s="170" t="s">
        <v>99</v>
      </c>
      <c r="D99" s="174">
        <f>D98/$B$98</f>
        <v>2.0476400000000002E-2</v>
      </c>
      <c r="E99" s="108"/>
      <c r="F99" s="111">
        <f>F98/$B$98</f>
        <v>1.3033328E-2</v>
      </c>
      <c r="G99" s="175"/>
      <c r="H99" s="100"/>
    </row>
    <row r="100" spans="1:10" ht="19.5" customHeight="1" x14ac:dyDescent="0.3">
      <c r="A100" s="293"/>
      <c r="B100" s="307"/>
      <c r="C100" s="170" t="s">
        <v>62</v>
      </c>
      <c r="D100" s="176">
        <f>$B$56/$B$116</f>
        <v>0.02</v>
      </c>
      <c r="F100" s="116"/>
      <c r="G100" s="177"/>
      <c r="H100" s="100"/>
    </row>
    <row r="101" spans="1:10" ht="18.75" x14ac:dyDescent="0.3">
      <c r="C101" s="170" t="s">
        <v>63</v>
      </c>
      <c r="D101" s="171">
        <f>D100*$B$98</f>
        <v>25</v>
      </c>
      <c r="F101" s="116"/>
      <c r="G101" s="175"/>
      <c r="H101" s="100"/>
    </row>
    <row r="102" spans="1:10" ht="19.5" customHeight="1" x14ac:dyDescent="0.3">
      <c r="C102" s="178" t="s">
        <v>64</v>
      </c>
      <c r="D102" s="179">
        <f>D101/B34</f>
        <v>25</v>
      </c>
      <c r="F102" s="120"/>
      <c r="G102" s="175"/>
      <c r="H102" s="100"/>
      <c r="J102" s="180"/>
    </row>
    <row r="103" spans="1:10" ht="18.75" x14ac:dyDescent="0.3">
      <c r="C103" s="181" t="s">
        <v>100</v>
      </c>
      <c r="D103" s="182">
        <f>AVERAGE(E91:E94,G91:G94)</f>
        <v>0.66733759585140373</v>
      </c>
      <c r="F103" s="120"/>
      <c r="G103" s="183"/>
      <c r="H103" s="100"/>
      <c r="J103" s="184"/>
    </row>
    <row r="104" spans="1:10" ht="18.75" x14ac:dyDescent="0.3">
      <c r="C104" s="150" t="s">
        <v>66</v>
      </c>
      <c r="D104" s="185">
        <f>STDEV(E91:E94,G91:G94)/D103</f>
        <v>2.1486748473948337E-3</v>
      </c>
      <c r="F104" s="120"/>
      <c r="G104" s="175"/>
      <c r="H104" s="100"/>
      <c r="J104" s="184"/>
    </row>
    <row r="105" spans="1:10" ht="19.5" customHeight="1" x14ac:dyDescent="0.3">
      <c r="C105" s="152" t="s">
        <v>67</v>
      </c>
      <c r="D105" s="186">
        <f>COUNT(E91:E94,G91:G94)</f>
        <v>6</v>
      </c>
      <c r="F105" s="120"/>
      <c r="G105" s="175"/>
      <c r="H105" s="100"/>
      <c r="J105" s="184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2" t="s">
        <v>101</v>
      </c>
      <c r="B107" s="73">
        <v>1000</v>
      </c>
      <c r="C107" s="187" t="s">
        <v>128</v>
      </c>
      <c r="D107" s="188" t="s">
        <v>45</v>
      </c>
      <c r="E107" s="189" t="s">
        <v>102</v>
      </c>
      <c r="F107" s="190" t="s">
        <v>103</v>
      </c>
    </row>
    <row r="108" spans="1:10" ht="26.25" customHeight="1" x14ac:dyDescent="0.4">
      <c r="A108" s="74" t="s">
        <v>104</v>
      </c>
      <c r="B108" s="75">
        <v>1</v>
      </c>
      <c r="C108" s="191">
        <v>1</v>
      </c>
      <c r="D108" s="330">
        <v>0.54800000000000004</v>
      </c>
      <c r="E108" s="225">
        <f>IF(ISBLANK(D108),"-",D108/$D$103*$D$100*$B$116)</f>
        <v>16.423471520463334</v>
      </c>
      <c r="F108" s="192">
        <f>IF(ISBLANK(D108), "-", E108/$B$56)</f>
        <v>0.82117357602316665</v>
      </c>
    </row>
    <row r="109" spans="1:10" ht="26.25" customHeight="1" x14ac:dyDescent="0.4">
      <c r="A109" s="74" t="s">
        <v>78</v>
      </c>
      <c r="B109" s="75">
        <v>1</v>
      </c>
      <c r="C109" s="191">
        <v>2</v>
      </c>
      <c r="D109" s="330">
        <v>0.54200000000000004</v>
      </c>
      <c r="E109" s="226">
        <f t="shared" ref="E108:E113" si="1">IF(ISBLANK(D109),"-",D109/$D$103*$D$100*$B$116)</f>
        <v>16.243652489217386</v>
      </c>
      <c r="F109" s="193">
        <f>IF(ISBLANK(D109), "-", E109/$B$56)</f>
        <v>0.81218262446086931</v>
      </c>
    </row>
    <row r="110" spans="1:10" ht="26.25" customHeight="1" x14ac:dyDescent="0.4">
      <c r="A110" s="74" t="s">
        <v>79</v>
      </c>
      <c r="B110" s="75">
        <v>1</v>
      </c>
      <c r="C110" s="191">
        <v>3</v>
      </c>
      <c r="D110" s="330">
        <v>0.54100000000000004</v>
      </c>
      <c r="E110" s="226">
        <f t="shared" si="1"/>
        <v>16.213682650676393</v>
      </c>
      <c r="F110" s="193">
        <f>IF(ISBLANK(D110), "-", E110/$B$56)</f>
        <v>0.81068413253381966</v>
      </c>
    </row>
    <row r="111" spans="1:10" ht="26.25" customHeight="1" x14ac:dyDescent="0.4">
      <c r="A111" s="74" t="s">
        <v>80</v>
      </c>
      <c r="B111" s="75">
        <v>1</v>
      </c>
      <c r="C111" s="191">
        <v>4</v>
      </c>
      <c r="D111" s="330">
        <v>0.53500000000000003</v>
      </c>
      <c r="E111" s="226">
        <f t="shared" si="1"/>
        <v>16.033863619430448</v>
      </c>
      <c r="F111" s="193">
        <f>IF(ISBLANK(D111), "-", E111/$B$56)</f>
        <v>0.80169318097152242</v>
      </c>
    </row>
    <row r="112" spans="1:10" ht="26.25" customHeight="1" x14ac:dyDescent="0.4">
      <c r="A112" s="74" t="s">
        <v>81</v>
      </c>
      <c r="B112" s="75">
        <v>1</v>
      </c>
      <c r="C112" s="191">
        <v>5</v>
      </c>
      <c r="D112" s="330">
        <v>0.53200000000000003</v>
      </c>
      <c r="E112" s="226">
        <f t="shared" si="1"/>
        <v>15.943954103807473</v>
      </c>
      <c r="F112" s="193">
        <f>IF(ISBLANK(D112), "-", E112/$B$56)</f>
        <v>0.79719770519037358</v>
      </c>
    </row>
    <row r="113" spans="1:10" ht="26.25" customHeight="1" x14ac:dyDescent="0.4">
      <c r="A113" s="74" t="s">
        <v>83</v>
      </c>
      <c r="B113" s="75">
        <v>1</v>
      </c>
      <c r="C113" s="194">
        <v>6</v>
      </c>
      <c r="D113" s="331">
        <v>0.53100000000000003</v>
      </c>
      <c r="E113" s="227">
        <f t="shared" si="1"/>
        <v>15.913984265266482</v>
      </c>
      <c r="F113" s="195">
        <f>IF(ISBLANK(D113), "-", E113/$B$56)</f>
        <v>0.79569921326332405</v>
      </c>
    </row>
    <row r="114" spans="1:10" ht="26.25" customHeight="1" x14ac:dyDescent="0.4">
      <c r="A114" s="74" t="s">
        <v>84</v>
      </c>
      <c r="B114" s="75">
        <v>1</v>
      </c>
      <c r="C114" s="191"/>
      <c r="D114" s="147"/>
      <c r="E114" s="48"/>
      <c r="F114" s="196"/>
    </row>
    <row r="115" spans="1:10" ht="26.25" customHeight="1" x14ac:dyDescent="0.4">
      <c r="A115" s="74" t="s">
        <v>85</v>
      </c>
      <c r="B115" s="75">
        <v>1</v>
      </c>
      <c r="C115" s="191"/>
      <c r="D115" s="197"/>
      <c r="E115" s="198" t="s">
        <v>53</v>
      </c>
      <c r="F115" s="199">
        <f>AVERAGE(F108:F113)</f>
        <v>0.80643840540717937</v>
      </c>
    </row>
    <row r="116" spans="1:10" ht="27" customHeight="1" x14ac:dyDescent="0.4">
      <c r="A116" s="74" t="s">
        <v>86</v>
      </c>
      <c r="B116" s="106">
        <f>(B115/B114)*(B113/B112)*(B111/B110)*(B109/B108)*B107</f>
        <v>1000</v>
      </c>
      <c r="C116" s="200"/>
      <c r="D116" s="201"/>
      <c r="E116" s="166" t="s">
        <v>66</v>
      </c>
      <c r="F116" s="202">
        <f>STDEV(F108:F113)/F115</f>
        <v>1.2292916765448605E-2</v>
      </c>
      <c r="I116" s="48"/>
    </row>
    <row r="117" spans="1:10" ht="27" customHeight="1" x14ac:dyDescent="0.4">
      <c r="A117" s="291" t="s">
        <v>60</v>
      </c>
      <c r="B117" s="292"/>
      <c r="C117" s="203"/>
      <c r="D117" s="204"/>
      <c r="E117" s="205" t="s">
        <v>67</v>
      </c>
      <c r="F117" s="206">
        <f>COUNT(F108:F113)</f>
        <v>6</v>
      </c>
      <c r="I117" s="48"/>
      <c r="J117" s="184"/>
    </row>
    <row r="118" spans="1:10" ht="19.5" customHeight="1" x14ac:dyDescent="0.3">
      <c r="A118" s="293"/>
      <c r="B118" s="294"/>
      <c r="C118" s="48"/>
      <c r="D118" s="48"/>
      <c r="E118" s="48"/>
      <c r="F118" s="147"/>
      <c r="G118" s="48"/>
      <c r="H118" s="48"/>
      <c r="I118" s="48"/>
    </row>
    <row r="119" spans="1:10" ht="18.75" x14ac:dyDescent="0.3">
      <c r="A119" s="215"/>
      <c r="B119" s="70"/>
      <c r="C119" s="48"/>
      <c r="D119" s="48"/>
      <c r="E119" s="48"/>
      <c r="F119" s="147"/>
      <c r="G119" s="48"/>
      <c r="H119" s="48"/>
      <c r="I119" s="48"/>
    </row>
    <row r="120" spans="1:10" ht="26.25" customHeight="1" x14ac:dyDescent="0.4">
      <c r="A120" s="58" t="s">
        <v>89</v>
      </c>
      <c r="B120" s="154" t="s">
        <v>105</v>
      </c>
      <c r="C120" s="295" t="str">
        <f>B20</f>
        <v>Tadalafil BP</v>
      </c>
      <c r="D120" s="295"/>
      <c r="E120" s="155" t="s">
        <v>106</v>
      </c>
      <c r="F120" s="155"/>
      <c r="G120" s="156">
        <f>F115</f>
        <v>0.80643840540717937</v>
      </c>
      <c r="H120" s="48"/>
      <c r="I120" s="48"/>
    </row>
    <row r="121" spans="1:10" ht="19.5" customHeight="1" x14ac:dyDescent="0.3">
      <c r="A121" s="207"/>
      <c r="B121" s="207"/>
      <c r="C121" s="208"/>
      <c r="D121" s="208"/>
      <c r="E121" s="208"/>
      <c r="F121" s="208"/>
      <c r="G121" s="208"/>
      <c r="H121" s="208"/>
    </row>
    <row r="122" spans="1:10" ht="18.75" x14ac:dyDescent="0.3">
      <c r="B122" s="296" t="s">
        <v>20</v>
      </c>
      <c r="C122" s="296"/>
      <c r="E122" s="161" t="s">
        <v>21</v>
      </c>
      <c r="F122" s="209"/>
      <c r="G122" s="296" t="s">
        <v>22</v>
      </c>
      <c r="H122" s="296"/>
    </row>
    <row r="123" spans="1:10" ht="69.95" customHeight="1" x14ac:dyDescent="0.3">
      <c r="A123" s="210" t="s">
        <v>23</v>
      </c>
      <c r="B123" s="211"/>
      <c r="C123" s="211"/>
      <c r="E123" s="211"/>
      <c r="F123" s="48"/>
      <c r="G123" s="212"/>
      <c r="H123" s="212"/>
    </row>
    <row r="124" spans="1:10" ht="69.95" customHeight="1" x14ac:dyDescent="0.3">
      <c r="A124" s="210" t="s">
        <v>24</v>
      </c>
      <c r="B124" s="213"/>
      <c r="C124" s="213"/>
      <c r="E124" s="213"/>
      <c r="F124" s="48"/>
      <c r="G124" s="214"/>
      <c r="H124" s="214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48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48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48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48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48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48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48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48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4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E30" sqref="E30"/>
    </sheetView>
  </sheetViews>
  <sheetFormatPr defaultRowHeight="13.5" x14ac:dyDescent="0.25"/>
  <cols>
    <col min="1" max="1" width="27.5703125" style="229" customWidth="1"/>
    <col min="2" max="2" width="31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274"/>
  </cols>
  <sheetData>
    <row r="14" spans="1:6" ht="15" customHeight="1" x14ac:dyDescent="0.3">
      <c r="A14" s="228"/>
      <c r="C14" s="230"/>
      <c r="F14" s="230"/>
    </row>
    <row r="15" spans="1:6" ht="18.75" customHeight="1" x14ac:dyDescent="0.3">
      <c r="A15" s="328" t="s">
        <v>109</v>
      </c>
      <c r="B15" s="328"/>
      <c r="C15" s="328"/>
      <c r="D15" s="328"/>
      <c r="E15" s="328"/>
    </row>
    <row r="16" spans="1:6" ht="16.5" customHeight="1" x14ac:dyDescent="0.3">
      <c r="A16" s="231" t="s">
        <v>13</v>
      </c>
      <c r="B16" s="232" t="s">
        <v>110</v>
      </c>
    </row>
    <row r="17" spans="1:5" ht="16.5" customHeight="1" x14ac:dyDescent="0.3">
      <c r="A17" s="233" t="s">
        <v>111</v>
      </c>
      <c r="B17" s="233"/>
      <c r="D17" s="234"/>
      <c r="E17" s="235"/>
    </row>
    <row r="18" spans="1:5" ht="16.5" customHeight="1" x14ac:dyDescent="0.3">
      <c r="A18" s="236" t="s">
        <v>28</v>
      </c>
      <c r="B18" s="233" t="s">
        <v>107</v>
      </c>
      <c r="C18" s="235"/>
      <c r="D18" s="235"/>
      <c r="E18" s="235"/>
    </row>
    <row r="19" spans="1:5" ht="16.5" customHeight="1" x14ac:dyDescent="0.3">
      <c r="A19" s="236" t="s">
        <v>30</v>
      </c>
      <c r="B19" s="237" t="s">
        <v>5</v>
      </c>
      <c r="C19" s="235"/>
      <c r="D19" s="235"/>
      <c r="E19" s="235"/>
    </row>
    <row r="20" spans="1:5" ht="16.5" customHeight="1" x14ac:dyDescent="0.3">
      <c r="A20" s="233" t="s">
        <v>112</v>
      </c>
      <c r="B20" s="237">
        <v>25.75</v>
      </c>
      <c r="C20" s="235"/>
      <c r="D20" s="235"/>
      <c r="E20" s="235"/>
    </row>
    <row r="21" spans="1:5" ht="16.5" customHeight="1" x14ac:dyDescent="0.3">
      <c r="A21" s="233" t="s">
        <v>113</v>
      </c>
      <c r="B21" s="238">
        <v>0.04</v>
      </c>
      <c r="C21" s="235"/>
      <c r="D21" s="235"/>
      <c r="E21" s="235"/>
    </row>
    <row r="22" spans="1:5" ht="15.75" customHeight="1" x14ac:dyDescent="0.25">
      <c r="A22" s="235"/>
      <c r="B22" s="239"/>
      <c r="C22" s="235"/>
      <c r="D22" s="235"/>
      <c r="E22" s="235"/>
    </row>
    <row r="23" spans="1:5" ht="16.5" customHeight="1" x14ac:dyDescent="0.3">
      <c r="A23" s="240" t="s">
        <v>114</v>
      </c>
      <c r="B23" s="241" t="s">
        <v>115</v>
      </c>
      <c r="C23" s="240" t="s">
        <v>116</v>
      </c>
      <c r="D23" s="240" t="s">
        <v>117</v>
      </c>
      <c r="E23" s="240" t="s">
        <v>118</v>
      </c>
    </row>
    <row r="24" spans="1:5" ht="16.5" customHeight="1" x14ac:dyDescent="0.3">
      <c r="A24" s="242">
        <v>1</v>
      </c>
      <c r="B24" s="243">
        <v>43023065</v>
      </c>
      <c r="C24" s="243">
        <v>5977.94</v>
      </c>
      <c r="D24" s="244">
        <v>1.1100000000000001</v>
      </c>
      <c r="E24" s="245">
        <v>4.8099999999999996</v>
      </c>
    </row>
    <row r="25" spans="1:5" ht="16.5" customHeight="1" x14ac:dyDescent="0.3">
      <c r="A25" s="242">
        <v>2</v>
      </c>
      <c r="B25" s="243">
        <v>43266896</v>
      </c>
      <c r="C25" s="243">
        <v>5999.14</v>
      </c>
      <c r="D25" s="244">
        <v>1.1100000000000001</v>
      </c>
      <c r="E25" s="244">
        <v>4.8099999999999996</v>
      </c>
    </row>
    <row r="26" spans="1:5" ht="16.5" customHeight="1" x14ac:dyDescent="0.3">
      <c r="A26" s="242">
        <v>3</v>
      </c>
      <c r="B26" s="243">
        <v>43173544</v>
      </c>
      <c r="C26" s="243">
        <v>6015.3</v>
      </c>
      <c r="D26" s="244">
        <v>1.1000000000000001</v>
      </c>
      <c r="E26" s="244">
        <v>4.82</v>
      </c>
    </row>
    <row r="27" spans="1:5" ht="16.5" customHeight="1" x14ac:dyDescent="0.3">
      <c r="A27" s="242">
        <v>4</v>
      </c>
      <c r="B27" s="243">
        <v>43056937</v>
      </c>
      <c r="C27" s="243">
        <v>5989.87</v>
      </c>
      <c r="D27" s="244">
        <v>1.1100000000000001</v>
      </c>
      <c r="E27" s="244">
        <v>4.8099999999999996</v>
      </c>
    </row>
    <row r="28" spans="1:5" ht="16.5" customHeight="1" x14ac:dyDescent="0.3">
      <c r="A28" s="242">
        <v>5</v>
      </c>
      <c r="B28" s="243">
        <v>42561566</v>
      </c>
      <c r="C28" s="243">
        <v>6014.68</v>
      </c>
      <c r="D28" s="244">
        <v>1.1100000000000001</v>
      </c>
      <c r="E28" s="244">
        <v>4.8099999999999996</v>
      </c>
    </row>
    <row r="29" spans="1:5" ht="16.5" customHeight="1" x14ac:dyDescent="0.3">
      <c r="A29" s="242">
        <v>6</v>
      </c>
      <c r="B29" s="246">
        <v>42813984</v>
      </c>
      <c r="C29" s="246">
        <v>6021.39</v>
      </c>
      <c r="D29" s="247">
        <v>1.1100000000000001</v>
      </c>
      <c r="E29" s="247">
        <v>4.8099999999999996</v>
      </c>
    </row>
    <row r="30" spans="1:5" ht="16.5" customHeight="1" x14ac:dyDescent="0.3">
      <c r="A30" s="248" t="s">
        <v>119</v>
      </c>
      <c r="B30" s="249">
        <f>AVERAGE(B24:B29)</f>
        <v>42982665.333333336</v>
      </c>
      <c r="C30" s="250">
        <f>AVERAGE(C24:C29)</f>
        <v>6003.0533333333333</v>
      </c>
      <c r="D30" s="251">
        <f>AVERAGE(D24:D29)</f>
        <v>1.1083333333333336</v>
      </c>
      <c r="E30" s="251">
        <f>AVERAGE(E24:E29)</f>
        <v>4.8116666666666665</v>
      </c>
    </row>
    <row r="31" spans="1:5" ht="16.5" customHeight="1" x14ac:dyDescent="0.3">
      <c r="A31" s="252" t="s">
        <v>120</v>
      </c>
      <c r="B31" s="253">
        <f>(STDEV(B24:B29)/B30)</f>
        <v>5.9782781404468695E-3</v>
      </c>
      <c r="C31" s="254"/>
      <c r="D31" s="254"/>
      <c r="E31" s="255"/>
    </row>
    <row r="32" spans="1:5" s="229" customFormat="1" ht="16.5" customHeight="1" x14ac:dyDescent="0.3">
      <c r="A32" s="256" t="s">
        <v>67</v>
      </c>
      <c r="B32" s="257">
        <f>COUNT(B24:B29)</f>
        <v>6</v>
      </c>
      <c r="C32" s="258"/>
      <c r="D32" s="259"/>
      <c r="E32" s="260"/>
    </row>
    <row r="33" spans="1:5" s="229" customFormat="1" ht="15.75" customHeight="1" x14ac:dyDescent="0.25">
      <c r="A33" s="235"/>
      <c r="B33" s="235"/>
      <c r="C33" s="235"/>
      <c r="D33" s="235"/>
      <c r="E33" s="235"/>
    </row>
    <row r="34" spans="1:5" s="229" customFormat="1" ht="16.5" customHeight="1" x14ac:dyDescent="0.3">
      <c r="A34" s="236" t="s">
        <v>121</v>
      </c>
      <c r="B34" s="261" t="s">
        <v>122</v>
      </c>
      <c r="C34" s="262"/>
      <c r="D34" s="262"/>
      <c r="E34" s="262"/>
    </row>
    <row r="35" spans="1:5" ht="16.5" customHeight="1" x14ac:dyDescent="0.3">
      <c r="A35" s="236"/>
      <c r="B35" s="261" t="s">
        <v>123</v>
      </c>
      <c r="C35" s="262"/>
      <c r="D35" s="262"/>
      <c r="E35" s="262"/>
    </row>
    <row r="36" spans="1:5" ht="16.5" customHeight="1" x14ac:dyDescent="0.3">
      <c r="A36" s="236"/>
      <c r="B36" s="261" t="s">
        <v>124</v>
      </c>
      <c r="C36" s="262"/>
      <c r="D36" s="262"/>
      <c r="E36" s="262"/>
    </row>
    <row r="37" spans="1:5" ht="15.75" customHeight="1" x14ac:dyDescent="0.25">
      <c r="A37" s="235"/>
      <c r="B37" s="235"/>
      <c r="C37" s="235"/>
      <c r="D37" s="235"/>
      <c r="E37" s="235"/>
    </row>
    <row r="38" spans="1:5" ht="16.5" customHeight="1" x14ac:dyDescent="0.3">
      <c r="A38" s="231" t="s">
        <v>13</v>
      </c>
      <c r="B38" s="232" t="s">
        <v>125</v>
      </c>
    </row>
    <row r="39" spans="1:5" ht="16.5" customHeight="1" x14ac:dyDescent="0.3">
      <c r="A39" s="236" t="s">
        <v>28</v>
      </c>
      <c r="B39" s="233"/>
      <c r="C39" s="235"/>
      <c r="D39" s="235"/>
      <c r="E39" s="235"/>
    </row>
    <row r="40" spans="1:5" ht="16.5" customHeight="1" x14ac:dyDescent="0.3">
      <c r="A40" s="236" t="s">
        <v>30</v>
      </c>
      <c r="B40" s="237"/>
      <c r="C40" s="235"/>
      <c r="D40" s="235"/>
      <c r="E40" s="235"/>
    </row>
    <row r="41" spans="1:5" ht="16.5" customHeight="1" x14ac:dyDescent="0.3">
      <c r="A41" s="233" t="s">
        <v>112</v>
      </c>
      <c r="B41" s="237"/>
      <c r="C41" s="235"/>
      <c r="D41" s="235"/>
      <c r="E41" s="235"/>
    </row>
    <row r="42" spans="1:5" ht="16.5" customHeight="1" x14ac:dyDescent="0.3">
      <c r="A42" s="233" t="s">
        <v>113</v>
      </c>
      <c r="B42" s="238"/>
      <c r="C42" s="235"/>
      <c r="D42" s="235"/>
      <c r="E42" s="235"/>
    </row>
    <row r="43" spans="1:5" ht="15.75" customHeight="1" x14ac:dyDescent="0.25">
      <c r="A43" s="235"/>
      <c r="B43" s="235"/>
      <c r="C43" s="235"/>
      <c r="D43" s="235"/>
      <c r="E43" s="235"/>
    </row>
    <row r="44" spans="1:5" ht="16.5" customHeight="1" x14ac:dyDescent="0.3">
      <c r="A44" s="240" t="s">
        <v>114</v>
      </c>
      <c r="B44" s="263" t="s">
        <v>115</v>
      </c>
      <c r="C44" s="240" t="s">
        <v>116</v>
      </c>
      <c r="D44" s="240" t="s">
        <v>117</v>
      </c>
      <c r="E44" s="240" t="s">
        <v>118</v>
      </c>
    </row>
    <row r="45" spans="1:5" ht="16.5" customHeight="1" x14ac:dyDescent="0.3">
      <c r="A45" s="264">
        <v>1</v>
      </c>
      <c r="B45" s="265"/>
      <c r="C45" s="266"/>
      <c r="D45" s="244"/>
      <c r="E45" s="245"/>
    </row>
    <row r="46" spans="1:5" ht="16.5" customHeight="1" x14ac:dyDescent="0.3">
      <c r="A46" s="264">
        <v>2</v>
      </c>
      <c r="B46" s="267"/>
      <c r="C46" s="266"/>
      <c r="D46" s="244"/>
      <c r="E46" s="244"/>
    </row>
    <row r="47" spans="1:5" ht="16.5" customHeight="1" x14ac:dyDescent="0.3">
      <c r="A47" s="264">
        <v>3</v>
      </c>
      <c r="B47" s="267"/>
      <c r="C47" s="266"/>
      <c r="D47" s="244"/>
      <c r="E47" s="244"/>
    </row>
    <row r="48" spans="1:5" ht="16.5" customHeight="1" x14ac:dyDescent="0.3">
      <c r="A48" s="264">
        <v>4</v>
      </c>
      <c r="B48" s="267"/>
      <c r="C48" s="266"/>
      <c r="D48" s="244"/>
      <c r="E48" s="244"/>
    </row>
    <row r="49" spans="1:7" ht="16.5" customHeight="1" x14ac:dyDescent="0.3">
      <c r="A49" s="264">
        <v>5</v>
      </c>
      <c r="B49" s="267"/>
      <c r="C49" s="266"/>
      <c r="D49" s="244"/>
      <c r="E49" s="244"/>
    </row>
    <row r="50" spans="1:7" ht="16.5" customHeight="1" x14ac:dyDescent="0.3">
      <c r="A50" s="264">
        <v>6</v>
      </c>
      <c r="B50" s="268"/>
      <c r="C50" s="269"/>
      <c r="D50" s="247"/>
      <c r="E50" s="247"/>
    </row>
    <row r="51" spans="1:7" ht="16.5" customHeight="1" x14ac:dyDescent="0.3">
      <c r="A51" s="248" t="s">
        <v>119</v>
      </c>
      <c r="B51" s="270" t="e">
        <f>AVERAGE(B45:B50)</f>
        <v>#DIV/0!</v>
      </c>
      <c r="C51" s="250" t="e">
        <f>AVERAGE(C45:C50)</f>
        <v>#DIV/0!</v>
      </c>
      <c r="D51" s="251" t="e">
        <f>AVERAGE(D45:D50)</f>
        <v>#DIV/0!</v>
      </c>
      <c r="E51" s="251" t="e">
        <f>AVERAGE(E45:E50)</f>
        <v>#DIV/0!</v>
      </c>
    </row>
    <row r="52" spans="1:7" ht="16.5" customHeight="1" x14ac:dyDescent="0.3">
      <c r="A52" s="252" t="s">
        <v>120</v>
      </c>
      <c r="B52" s="253" t="e">
        <f>(STDEV(B45:B50)/B51)</f>
        <v>#DIV/0!</v>
      </c>
      <c r="C52" s="254"/>
      <c r="D52" s="254"/>
      <c r="E52" s="255"/>
    </row>
    <row r="53" spans="1:7" s="229" customFormat="1" ht="16.5" customHeight="1" x14ac:dyDescent="0.3">
      <c r="A53" s="256" t="s">
        <v>67</v>
      </c>
      <c r="B53" s="257">
        <f>COUNT(B45:B50)</f>
        <v>0</v>
      </c>
      <c r="C53" s="258"/>
      <c r="D53" s="259"/>
      <c r="E53" s="260"/>
    </row>
    <row r="54" spans="1:7" s="229" customFormat="1" ht="15.75" customHeight="1" x14ac:dyDescent="0.25">
      <c r="A54" s="235"/>
      <c r="B54" s="235"/>
      <c r="C54" s="235"/>
      <c r="D54" s="235"/>
      <c r="E54" s="235"/>
    </row>
    <row r="55" spans="1:7" s="229" customFormat="1" ht="16.5" customHeight="1" x14ac:dyDescent="0.3">
      <c r="A55" s="236" t="s">
        <v>121</v>
      </c>
      <c r="B55" s="261" t="s">
        <v>122</v>
      </c>
      <c r="C55" s="262"/>
      <c r="D55" s="262"/>
      <c r="E55" s="262"/>
    </row>
    <row r="56" spans="1:7" ht="16.5" customHeight="1" x14ac:dyDescent="0.3">
      <c r="A56" s="236"/>
      <c r="B56" s="261" t="s">
        <v>123</v>
      </c>
      <c r="C56" s="262"/>
      <c r="D56" s="262"/>
      <c r="E56" s="262"/>
    </row>
    <row r="57" spans="1:7" ht="16.5" customHeight="1" x14ac:dyDescent="0.3">
      <c r="A57" s="236"/>
      <c r="B57" s="261" t="s">
        <v>124</v>
      </c>
      <c r="C57" s="262"/>
      <c r="D57" s="262"/>
      <c r="E57" s="262"/>
    </row>
    <row r="58" spans="1:7" ht="14.25" customHeight="1" thickBot="1" x14ac:dyDescent="0.3">
      <c r="A58" s="271"/>
      <c r="B58" s="272"/>
      <c r="D58" s="273"/>
      <c r="F58" s="274"/>
      <c r="G58" s="274"/>
    </row>
    <row r="59" spans="1:7" ht="15" customHeight="1" x14ac:dyDescent="0.3">
      <c r="B59" s="329" t="s">
        <v>20</v>
      </c>
      <c r="C59" s="329"/>
      <c r="E59" s="275" t="s">
        <v>21</v>
      </c>
      <c r="F59" s="276"/>
      <c r="G59" s="275" t="s">
        <v>22</v>
      </c>
    </row>
    <row r="60" spans="1:7" ht="15" customHeight="1" x14ac:dyDescent="0.3">
      <c r="A60" s="277" t="s">
        <v>23</v>
      </c>
      <c r="B60" s="278" t="s">
        <v>126</v>
      </c>
      <c r="C60" s="278"/>
      <c r="E60" s="278"/>
      <c r="G60" s="278"/>
    </row>
    <row r="61" spans="1:7" ht="15" customHeight="1" x14ac:dyDescent="0.3">
      <c r="A61" s="277" t="s">
        <v>24</v>
      </c>
      <c r="B61" s="279"/>
      <c r="C61" s="279"/>
      <c r="E61" s="279"/>
      <c r="G61" s="2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5"/>
  <sheetViews>
    <sheetView workbookViewId="0">
      <selection activeCell="K26" sqref="K26"/>
    </sheetView>
  </sheetViews>
  <sheetFormatPr defaultRowHeight="12.75" x14ac:dyDescent="0.2"/>
  <sheetData>
    <row r="25" spans="11:11" x14ac:dyDescent="0.2">
      <c r="K25">
        <f>20/100*5/25</f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Uniformity</vt:lpstr>
      <vt:lpstr>Tadalafil</vt:lpstr>
      <vt:lpstr>SST</vt:lpstr>
      <vt:lpstr>Sheet3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2015-07-03T16:16:52Z</dcterms:modified>
</cp:coreProperties>
</file>