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510" yWindow="555" windowWidth="15015" windowHeight="7620"/>
  </bookViews>
  <sheets>
    <sheet name="SST" sheetId="5" r:id="rId1"/>
    <sheet name="Uniformity" sheetId="2" r:id="rId2"/>
    <sheet name="Fluconazole" sheetId="3" r:id="rId3"/>
  </sheets>
  <definedNames>
    <definedName name="_xlnm.Print_Area" localSheetId="1">Uniformity!$A$1:$E$44</definedName>
  </definedNames>
  <calcPr calcId="145621"/>
</workbook>
</file>

<file path=xl/calcChain.xml><?xml version="1.0" encoding="utf-8"?>
<calcChain xmlns="http://schemas.openxmlformats.org/spreadsheetml/2006/main">
  <c r="C8" i="2" l="1"/>
  <c r="C9" i="2"/>
  <c r="B12" i="5"/>
  <c r="B11" i="5"/>
  <c r="B9" i="5"/>
  <c r="B6" i="5"/>
  <c r="B5" i="5"/>
  <c r="B4" i="5"/>
  <c r="B3" i="5"/>
  <c r="B1" i="5"/>
  <c r="B23" i="5"/>
  <c r="E21" i="5"/>
  <c r="D21" i="5"/>
  <c r="C21" i="5"/>
  <c r="B21" i="5"/>
  <c r="B22" i="5" s="1"/>
  <c r="H56" i="3"/>
  <c r="B16" i="3" l="1"/>
  <c r="B43" i="3"/>
  <c r="C106" i="3"/>
  <c r="B102" i="3"/>
  <c r="B84" i="3"/>
  <c r="F81" i="3"/>
  <c r="D81" i="3"/>
  <c r="I78" i="3" s="1"/>
  <c r="G80" i="3"/>
  <c r="E80" i="3"/>
  <c r="B73" i="3"/>
  <c r="F83" i="3" s="1"/>
  <c r="B67" i="3"/>
  <c r="B69" i="3" s="1"/>
  <c r="B65" i="3"/>
  <c r="C62" i="3"/>
  <c r="H57" i="3"/>
  <c r="G57" i="3"/>
  <c r="B54" i="3"/>
  <c r="B55" i="3" s="1"/>
  <c r="H53" i="3"/>
  <c r="G53" i="3"/>
  <c r="H49" i="3"/>
  <c r="G49" i="3"/>
  <c r="C42" i="3"/>
  <c r="B41" i="3"/>
  <c r="B31" i="3"/>
  <c r="D34" i="3" s="1"/>
  <c r="F28" i="3"/>
  <c r="D28" i="3"/>
  <c r="G27" i="3"/>
  <c r="E27" i="3"/>
  <c r="B20" i="3"/>
  <c r="F30" i="3" s="1"/>
  <c r="C36" i="2"/>
  <c r="C39" i="2" s="1"/>
  <c r="C35" i="2"/>
  <c r="D35" i="3" l="1"/>
  <c r="I25" i="3"/>
  <c r="D86" i="3"/>
  <c r="D87" i="3" s="1"/>
  <c r="D88" i="3" s="1"/>
  <c r="F31" i="3"/>
  <c r="F84" i="3"/>
  <c r="D83" i="3"/>
  <c r="D84" i="3"/>
  <c r="C40" i="2"/>
  <c r="D14" i="2"/>
  <c r="D18" i="2"/>
  <c r="D22" i="2"/>
  <c r="D26" i="2"/>
  <c r="D30" i="2"/>
  <c r="D39" i="2"/>
  <c r="D19" i="2"/>
  <c r="D31" i="2"/>
  <c r="D15" i="2"/>
  <c r="D23" i="2"/>
  <c r="D27" i="2"/>
  <c r="D20" i="2"/>
  <c r="D32" i="2"/>
  <c r="B39" i="2"/>
  <c r="D40" i="2"/>
  <c r="D30" i="3"/>
  <c r="D31" i="3" s="1"/>
  <c r="E24" i="3" s="1"/>
  <c r="D16" i="2"/>
  <c r="D24" i="2"/>
  <c r="D28" i="2"/>
  <c r="D17" i="2"/>
  <c r="D21" i="2"/>
  <c r="D25" i="2"/>
  <c r="D29" i="2"/>
  <c r="D33" i="2"/>
  <c r="G26" i="3" l="1"/>
  <c r="G24" i="3"/>
  <c r="G25" i="3"/>
  <c r="F32" i="3"/>
  <c r="D85" i="3"/>
  <c r="E78" i="3"/>
  <c r="E77" i="3"/>
  <c r="E79" i="3"/>
  <c r="F85" i="3"/>
  <c r="G78" i="3"/>
  <c r="G79" i="3"/>
  <c r="G77" i="3"/>
  <c r="D32" i="3"/>
  <c r="E26" i="3"/>
  <c r="E25" i="3"/>
  <c r="G28" i="3" l="1"/>
  <c r="D89" i="3"/>
  <c r="E81" i="3"/>
  <c r="D91" i="3"/>
  <c r="G81" i="3"/>
  <c r="D38" i="3"/>
  <c r="D36" i="3"/>
  <c r="E28" i="3"/>
  <c r="D37" i="3" l="1"/>
  <c r="G46" i="3"/>
  <c r="H46" i="3" s="1"/>
  <c r="G48" i="3"/>
  <c r="H48" i="3" s="1"/>
  <c r="G51" i="3"/>
  <c r="H51" i="3" s="1"/>
  <c r="G47" i="3"/>
  <c r="H47" i="3" s="1"/>
  <c r="G55" i="3"/>
  <c r="H55" i="3" s="1"/>
  <c r="G52" i="3"/>
  <c r="H52" i="3" s="1"/>
  <c r="G50" i="3"/>
  <c r="H50" i="3" s="1"/>
  <c r="G54" i="3"/>
  <c r="H54" i="3" s="1"/>
  <c r="G56" i="3"/>
  <c r="D90" i="3"/>
  <c r="E98" i="3"/>
  <c r="F98" i="3" s="1"/>
  <c r="E94" i="3"/>
  <c r="F94" i="3" s="1"/>
  <c r="E97" i="3"/>
  <c r="F97" i="3" s="1"/>
  <c r="E96" i="3"/>
  <c r="F96" i="3" s="1"/>
  <c r="E99" i="3"/>
  <c r="F99" i="3" s="1"/>
  <c r="E95" i="3"/>
  <c r="F95" i="3" s="1"/>
  <c r="H60" i="3" l="1"/>
  <c r="H58" i="3"/>
  <c r="G62" i="3" s="1"/>
  <c r="F101" i="3"/>
  <c r="F103" i="3"/>
  <c r="F102" i="3" l="1"/>
  <c r="G106" i="3"/>
  <c r="H59" i="3"/>
</calcChain>
</file>

<file path=xl/sharedStrings.xml><?xml version="1.0" encoding="utf-8"?>
<sst xmlns="http://schemas.openxmlformats.org/spreadsheetml/2006/main" count="213" uniqueCount="122">
  <si>
    <t>Please enter the required information in the cells highlighted in green</t>
  </si>
  <si>
    <t>Uniformity of Weight Test Report</t>
  </si>
  <si>
    <t>Sample Name:</t>
  </si>
  <si>
    <t>Fluconazole Tablets 200mg</t>
  </si>
  <si>
    <t>Laboratory Ref No:</t>
  </si>
  <si>
    <t>NDQD201502080</t>
  </si>
  <si>
    <t>Active Ingredient:</t>
  </si>
  <si>
    <t>Fluconazole Ph. Eur.</t>
  </si>
  <si>
    <t>Label Claim:</t>
  </si>
  <si>
    <t>Fluconazole Ph. Eur. 200mg</t>
  </si>
  <si>
    <t>Date Analysis Started:</t>
  </si>
  <si>
    <t>Date Analysis Completed:</t>
  </si>
  <si>
    <t>Analysis Data</t>
  </si>
  <si>
    <t>Uniformity of weight</t>
  </si>
  <si>
    <t>Tablet weight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</si>
  <si>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</si>
  <si>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</si>
  <si>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</si>
  <si>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</si>
  <si>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</si>
  <si>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</si>
  <si>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</si>
  <si>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</si>
  <si>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</si>
  <si>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Analysis Report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</si>
  <si>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</si>
  <si>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</si>
  <si>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</si>
  <si>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</si>
  <si>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</si>
  <si>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</si>
  <si>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</si>
  <si>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</si>
  <si>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</si>
  <si>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</si>
  <si>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</si>
  <si>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</si>
  <si>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</si>
  <si>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</si>
  <si>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</si>
  <si>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</si>
  <si>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</si>
  <si>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</si>
  <si>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</si>
  <si>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</si>
  <si>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</si>
  <si>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</si>
  <si>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</si>
  <si>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</si>
  <si>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</si>
  <si>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</si>
  <si>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</si>
  <si>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</si>
  <si>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</si>
  <si>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</si>
  <si>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</si>
  <si>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</si>
  <si>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</si>
  <si>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</si>
  <si>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</si>
  <si>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</si>
  <si>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</si>
  <si>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</si>
  <si>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</si>
  <si>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</si>
  <si>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</si>
  <si>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</si>
  <si>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</si>
  <si>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</si>
  <si>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</si>
  <si>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</si>
  <si>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</si>
  <si>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</si>
  <si>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</si>
  <si>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</si>
  <si>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</si>
  <si>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</si>
  <si>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</si>
  <si>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</si>
  <si>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</si>
  <si>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</si>
  <si>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</si>
  <si>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</si>
  <si>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</si>
  <si>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</si>
  <si>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</si>
  <si>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</si>
  <si>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</si>
  <si>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</si>
  <si>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</si>
  <si>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</si>
  <si>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</si>
  <si>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</si>
  <si>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</si>
  <si>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</si>
  <si>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</si>
  <si>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</si>
  <si>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</si>
  <si>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</si>
  <si>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</si>
  <si>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</si>
  <si>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</si>
  <si>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</si>
  <si>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</si>
  <si>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</si>
  <si>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Fluconazole</t>
  </si>
  <si>
    <t>Summary:</t>
  </si>
  <si>
    <t xml:space="preserve">RSD: </t>
  </si>
  <si>
    <t>Averages:</t>
  </si>
  <si>
    <t>Retention Times (min)</t>
  </si>
  <si>
    <t>Tailing Factor (Assym)</t>
  </si>
  <si>
    <t xml:space="preserve">Theoretical Plates (USP) </t>
  </si>
  <si>
    <t>Peak Areas</t>
  </si>
  <si>
    <t>Injection Number</t>
  </si>
  <si>
    <t>Standard Conc (mg/mL):</t>
  </si>
  <si>
    <t>Weight (mg):</t>
  </si>
  <si>
    <t>Assay</t>
  </si>
  <si>
    <r>
      <t xml:space="preserve">The RSD of the peak areas for six replicate injections of  SST Std is </t>
    </r>
    <r>
      <rPr>
        <b/>
        <sz val="14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</si>
  <si>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4"/>
        <rFont val="Book Antiqua"/>
        <family val="1"/>
      </rPr>
      <t>greater than 2000</t>
    </r>
  </si>
  <si>
    <r>
      <t>The Assymetry of all peaks were below</t>
    </r>
    <r>
      <rPr>
        <b/>
        <sz val="14"/>
        <rFont val="Book Antiqua"/>
        <family val="1"/>
      </rPr>
      <t xml:space="preserve"> 2.0</t>
    </r>
  </si>
  <si>
    <t>MUTUA</t>
  </si>
  <si>
    <t>9TH APRIL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</si>
</sst>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"/>
    <numFmt numFmtId="165" formatCode="0.00000"/>
    <numFmt numFmtId="166" formatCode="[$-409]d/mmm/yy;@"/>
    <numFmt numFmtId="167" formatCode="0.0%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8" x14ac:knownFonts="1">
    <font>
      <sz val="10"/>
      <color rgb="FF000000"/>
      <name val="Arial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name val="Arial"/>
      <family val="2"/>
    </font>
    <font>
      <sz val="10"/>
      <name val="Book Antiqua"/>
      <family val="1"/>
    </font>
    <font>
      <b/>
      <u/>
      <sz val="14"/>
      <name val="Book Antiqua"/>
      <family val="1"/>
    </font>
    <font>
      <b/>
      <i/>
      <sz val="14"/>
      <name val="Book Antiqua"/>
      <family val="1"/>
    </font>
    <font>
      <b/>
      <sz val="10"/>
      <name val="Book Antiqua"/>
      <family val="1"/>
    </font>
    <font>
      <b/>
      <sz val="14"/>
      <name val="Book Antiqua"/>
      <family val="1"/>
    </font>
    <font>
      <sz val="14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1" fillId="2" borderId="0"/>
    <xf numFmtId="9" fontId="21" fillId="2" borderId="0" applyFont="0" applyFill="0" applyBorder="0" applyAlignment="0" applyProtection="0"/>
  </cellStyleXfs>
  <cellXfs count="324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right"/>
    </xf>
    <xf numFmtId="165" fontId="4" fillId="2" borderId="0" xfId="0" applyNumberFormat="1" applyFont="1" applyFill="1"/>
    <xf numFmtId="2" fontId="3" fillId="2" borderId="0" xfId="0" applyNumberFormat="1" applyFont="1" applyFill="1"/>
    <xf numFmtId="0" fontId="5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/>
    <xf numFmtId="0" fontId="6" fillId="2" borderId="0" xfId="0" applyFont="1" applyFill="1" applyAlignment="1">
      <alignment horizontal="right"/>
    </xf>
    <xf numFmtId="0" fontId="2" fillId="2" borderId="1" xfId="0" applyFont="1" applyFill="1" applyBorder="1"/>
    <xf numFmtId="0" fontId="2" fillId="2" borderId="0" xfId="0" applyFont="1" applyFill="1" applyAlignment="1">
      <alignment horizontal="center"/>
    </xf>
    <xf numFmtId="10" fontId="2" fillId="2" borderId="1" xfId="0" applyNumberFormat="1" applyFont="1" applyFill="1" applyBorder="1"/>
    <xf numFmtId="0" fontId="7" fillId="2" borderId="0" xfId="0" applyFont="1" applyFill="1"/>
    <xf numFmtId="0" fontId="6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2" fillId="2" borderId="3" xfId="0" applyFont="1" applyFill="1" applyBorder="1"/>
    <xf numFmtId="0" fontId="2" fillId="2" borderId="0" xfId="0" applyFont="1" applyFill="1"/>
    <xf numFmtId="0" fontId="6" fillId="2" borderId="4" xfId="0" applyFont="1" applyFill="1" applyBorder="1"/>
    <xf numFmtId="0" fontId="6" fillId="2" borderId="0" xfId="0" applyFont="1" applyFill="1"/>
    <xf numFmtId="166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6" fillId="2" borderId="0" xfId="0" applyNumberFormat="1" applyFont="1" applyFill="1"/>
    <xf numFmtId="10" fontId="1" fillId="2" borderId="0" xfId="0" applyNumberFormat="1" applyFont="1" applyFill="1"/>
    <xf numFmtId="2" fontId="6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/>
    </xf>
    <xf numFmtId="165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wrapText="1"/>
    </xf>
    <xf numFmtId="165" fontId="6" fillId="2" borderId="5" xfId="0" applyNumberFormat="1" applyFont="1" applyFill="1" applyBorder="1" applyAlignment="1">
      <alignment horizontal="center" wrapText="1"/>
    </xf>
    <xf numFmtId="10" fontId="2" fillId="2" borderId="6" xfId="0" applyNumberFormat="1" applyFont="1" applyFill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10" fontId="2" fillId="2" borderId="8" xfId="0" applyNumberFormat="1" applyFont="1" applyFill="1" applyBorder="1" applyAlignment="1">
      <alignment horizontal="center"/>
    </xf>
    <xf numFmtId="0" fontId="5" fillId="2" borderId="0" xfId="0" applyFont="1" applyFill="1"/>
    <xf numFmtId="0" fontId="8" fillId="2" borderId="0" xfId="0" applyFont="1" applyFill="1" applyAlignment="1">
      <alignment wrapText="1"/>
    </xf>
    <xf numFmtId="0" fontId="6" fillId="2" borderId="5" xfId="0" applyFont="1" applyFill="1" applyBorder="1" applyAlignment="1">
      <alignment horizontal="center" vertical="center"/>
    </xf>
    <xf numFmtId="167" fontId="6" fillId="2" borderId="9" xfId="0" applyNumberFormat="1" applyFont="1" applyFill="1" applyBorder="1" applyAlignment="1">
      <alignment horizontal="center"/>
    </xf>
    <xf numFmtId="167" fontId="6" fillId="2" borderId="10" xfId="0" applyNumberFormat="1" applyFont="1" applyFill="1" applyBorder="1" applyAlignment="1">
      <alignment horizontal="center"/>
    </xf>
    <xf numFmtId="2" fontId="2" fillId="3" borderId="7" xfId="0" applyNumberFormat="1" applyFont="1" applyFill="1" applyBorder="1" applyProtection="1">
      <protection locked="0"/>
    </xf>
    <xf numFmtId="2" fontId="2" fillId="3" borderId="8" xfId="0" applyNumberFormat="1" applyFont="1" applyFill="1" applyBorder="1" applyProtection="1">
      <protection locked="0"/>
    </xf>
    <xf numFmtId="166" fontId="2" fillId="2" borderId="0" xfId="0" applyNumberFormat="1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8" fontId="12" fillId="3" borderId="0" xfId="0" applyNumberFormat="1" applyFont="1" applyFill="1" applyAlignment="1" applyProtection="1">
      <alignment horizontal="center"/>
      <protection locked="0"/>
    </xf>
    <xf numFmtId="169" fontId="9" fillId="2" borderId="0" xfId="0" applyNumberFormat="1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10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0" fillId="2" borderId="0" xfId="0" applyNumberFormat="1" applyFont="1" applyFill="1" applyAlignment="1">
      <alignment horizontal="center"/>
    </xf>
    <xf numFmtId="0" fontId="9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71" fontId="9" fillId="2" borderId="19" xfId="0" applyNumberFormat="1" applyFont="1" applyFill="1" applyBorder="1" applyAlignment="1">
      <alignment horizontal="center"/>
    </xf>
    <xf numFmtId="171" fontId="9" fillId="2" borderId="23" xfId="0" applyNumberFormat="1" applyFont="1" applyFill="1" applyBorder="1" applyAlignment="1">
      <alignment horizontal="center"/>
    </xf>
    <xf numFmtId="0" fontId="17" fillId="2" borderId="6" xfId="0" applyFont="1" applyFill="1" applyBorder="1"/>
    <xf numFmtId="0" fontId="9" fillId="2" borderId="17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71" fontId="9" fillId="2" borderId="24" xfId="0" applyNumberFormat="1" applyFont="1" applyFill="1" applyBorder="1" applyAlignment="1">
      <alignment horizontal="center"/>
    </xf>
    <xf numFmtId="171" fontId="9" fillId="2" borderId="25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6" xfId="0" applyFont="1" applyFill="1" applyBorder="1" applyAlignment="1">
      <alignment horizontal="center"/>
    </xf>
    <xf numFmtId="0" fontId="11" fillId="3" borderId="27" xfId="0" applyFont="1" applyFill="1" applyBorder="1" applyAlignment="1" applyProtection="1">
      <alignment horizontal="center"/>
      <protection locked="0"/>
    </xf>
    <xf numFmtId="171" fontId="9" fillId="2" borderId="28" xfId="0" applyNumberFormat="1" applyFont="1" applyFill="1" applyBorder="1" applyAlignment="1">
      <alignment horizontal="center"/>
    </xf>
    <xf numFmtId="171" fontId="9" fillId="2" borderId="29" xfId="0" applyNumberFormat="1" applyFont="1" applyFill="1" applyBorder="1" applyAlignment="1">
      <alignment horizontal="center"/>
    </xf>
    <xf numFmtId="0" fontId="9" fillId="2" borderId="8" xfId="0" applyFont="1" applyFill="1" applyBorder="1"/>
    <xf numFmtId="0" fontId="9" fillId="2" borderId="17" xfId="0" applyFont="1" applyFill="1" applyBorder="1" applyAlignment="1">
      <alignment horizontal="right"/>
    </xf>
    <xf numFmtId="1" fontId="10" fillId="4" borderId="30" xfId="0" applyNumberFormat="1" applyFont="1" applyFill="1" applyBorder="1" applyAlignment="1">
      <alignment horizontal="center"/>
    </xf>
    <xf numFmtId="171" fontId="10" fillId="4" borderId="31" xfId="0" applyNumberFormat="1" applyFont="1" applyFill="1" applyBorder="1" applyAlignment="1">
      <alignment horizontal="center"/>
    </xf>
    <xf numFmtId="171" fontId="10" fillId="4" borderId="3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9" fillId="2" borderId="33" xfId="0" applyFont="1" applyFill="1" applyBorder="1" applyAlignment="1">
      <alignment horizontal="right"/>
    </xf>
    <xf numFmtId="0" fontId="11" fillId="3" borderId="9" xfId="0" applyFont="1" applyFill="1" applyBorder="1" applyAlignment="1" applyProtection="1">
      <alignment horizontal="center"/>
      <protection locked="0"/>
    </xf>
    <xf numFmtId="0" fontId="9" fillId="2" borderId="4" xfId="0" applyFont="1" applyFill="1" applyBorder="1" applyAlignment="1">
      <alignment horizontal="right"/>
    </xf>
    <xf numFmtId="2" fontId="9" fillId="4" borderId="34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7" xfId="0" applyFont="1" applyFill="1" applyBorder="1" applyAlignment="1">
      <alignment horizontal="center"/>
    </xf>
    <xf numFmtId="2" fontId="9" fillId="5" borderId="34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64" fontId="9" fillId="2" borderId="0" xfId="0" applyNumberFormat="1" applyFont="1" applyFill="1" applyAlignment="1">
      <alignment horizontal="center"/>
    </xf>
    <xf numFmtId="164" fontId="9" fillId="4" borderId="10" xfId="0" applyNumberFormat="1" applyFont="1" applyFill="1" applyBorder="1" applyAlignment="1">
      <alignment horizontal="center"/>
    </xf>
    <xf numFmtId="0" fontId="9" fillId="2" borderId="35" xfId="0" applyFont="1" applyFill="1" applyBorder="1" applyAlignment="1">
      <alignment horizontal="right"/>
    </xf>
    <xf numFmtId="164" fontId="11" fillId="3" borderId="34" xfId="0" applyNumberFormat="1" applyFont="1" applyFill="1" applyBorder="1" applyAlignment="1" applyProtection="1">
      <alignment horizontal="center"/>
      <protection locked="0"/>
    </xf>
    <xf numFmtId="164" fontId="9" fillId="2" borderId="0" xfId="0" applyNumberFormat="1" applyFont="1" applyFill="1"/>
    <xf numFmtId="0" fontId="9" fillId="2" borderId="22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8" xfId="0" applyFont="1" applyFill="1" applyBorder="1" applyAlignment="1">
      <alignment horizontal="right"/>
    </xf>
    <xf numFmtId="2" fontId="9" fillId="4" borderId="8" xfId="0" applyNumberFormat="1" applyFont="1" applyFill="1" applyBorder="1" applyAlignment="1">
      <alignment horizontal="center"/>
    </xf>
    <xf numFmtId="171" fontId="10" fillId="5" borderId="6" xfId="0" applyNumberFormat="1" applyFont="1" applyFill="1" applyBorder="1" applyAlignment="1">
      <alignment horizontal="center"/>
    </xf>
    <xf numFmtId="171" fontId="9" fillId="2" borderId="0" xfId="0" applyNumberFormat="1" applyFont="1" applyFill="1" applyAlignment="1">
      <alignment horizontal="center"/>
    </xf>
    <xf numFmtId="10" fontId="9" fillId="4" borderId="34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0" fontId="9" fillId="5" borderId="8" xfId="0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2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2" fontId="10" fillId="2" borderId="6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2" fontId="9" fillId="2" borderId="14" xfId="0" applyNumberFormat="1" applyFont="1" applyFill="1" applyBorder="1" applyAlignment="1">
      <alignment horizontal="center"/>
    </xf>
    <xf numFmtId="10" fontId="9" fillId="2" borderId="6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/>
    </xf>
    <xf numFmtId="2" fontId="9" fillId="2" borderId="16" xfId="0" applyNumberFormat="1" applyFont="1" applyFill="1" applyBorder="1" applyAlignment="1">
      <alignment horizontal="center"/>
    </xf>
    <xf numFmtId="10" fontId="9" fillId="2" borderId="7" xfId="0" applyNumberFormat="1" applyFont="1" applyFill="1" applyBorder="1" applyAlignment="1">
      <alignment horizontal="center" vertical="center"/>
    </xf>
    <xf numFmtId="1" fontId="11" fillId="3" borderId="16" xfId="0" applyNumberFormat="1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>
      <alignment horizontal="center"/>
    </xf>
    <xf numFmtId="0" fontId="11" fillId="3" borderId="36" xfId="0" applyFont="1" applyFill="1" applyBorder="1" applyAlignment="1" applyProtection="1">
      <alignment horizontal="center"/>
      <protection locked="0"/>
    </xf>
    <xf numFmtId="2" fontId="9" fillId="2" borderId="6" xfId="0" applyNumberFormat="1" applyFont="1" applyFill="1" applyBorder="1" applyAlignment="1">
      <alignment horizontal="center"/>
    </xf>
    <xf numFmtId="10" fontId="9" fillId="2" borderId="15" xfId="0" applyNumberFormat="1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/>
    </xf>
    <xf numFmtId="10" fontId="9" fillId="2" borderId="17" xfId="0" applyNumberFormat="1" applyFont="1" applyFill="1" applyBorder="1" applyAlignment="1">
      <alignment horizontal="center" vertical="center"/>
    </xf>
    <xf numFmtId="2" fontId="9" fillId="2" borderId="8" xfId="0" applyNumberFormat="1" applyFont="1" applyFill="1" applyBorder="1" applyAlignment="1">
      <alignment horizontal="center"/>
    </xf>
    <xf numFmtId="10" fontId="9" fillId="2" borderId="37" xfId="0" applyNumberFormat="1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/>
    </xf>
    <xf numFmtId="2" fontId="12" fillId="2" borderId="37" xfId="0" applyNumberFormat="1" applyFont="1" applyFill="1" applyBorder="1" applyAlignment="1">
      <alignment horizontal="center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8" xfId="0" applyFont="1" applyFill="1" applyBorder="1" applyAlignment="1">
      <alignment horizontal="right"/>
    </xf>
    <xf numFmtId="10" fontId="11" fillId="5" borderId="26" xfId="0" applyNumberFormat="1" applyFont="1" applyFill="1" applyBorder="1" applyAlignment="1">
      <alignment horizontal="center"/>
    </xf>
    <xf numFmtId="0" fontId="9" fillId="2" borderId="34" xfId="0" applyFont="1" applyFill="1" applyBorder="1" applyAlignment="1">
      <alignment horizontal="right"/>
    </xf>
    <xf numFmtId="167" fontId="11" fillId="4" borderId="39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0" fontId="11" fillId="5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7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1" xfId="0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1" fontId="11" fillId="3" borderId="27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3" xfId="0" applyNumberFormat="1" applyFont="1" applyFill="1" applyBorder="1" applyAlignment="1">
      <alignment horizontal="center"/>
    </xf>
    <xf numFmtId="1" fontId="10" fillId="4" borderId="44" xfId="0" applyNumberFormat="1" applyFont="1" applyFill="1" applyBorder="1" applyAlignment="1">
      <alignment horizontal="center"/>
    </xf>
    <xf numFmtId="171" fontId="10" fillId="4" borderId="8" xfId="0" applyNumberFormat="1" applyFont="1" applyFill="1" applyBorder="1" applyAlignment="1">
      <alignment horizontal="center"/>
    </xf>
    <xf numFmtId="0" fontId="9" fillId="2" borderId="45" xfId="0" applyFont="1" applyFill="1" applyBorder="1" applyAlignment="1">
      <alignment horizontal="right"/>
    </xf>
    <xf numFmtId="0" fontId="11" fillId="3" borderId="46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2" fontId="9" fillId="4" borderId="2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0" xfId="0" applyNumberFormat="1" applyFont="1" applyFill="1" applyBorder="1" applyAlignment="1">
      <alignment horizontal="center"/>
    </xf>
    <xf numFmtId="164" fontId="9" fillId="4" borderId="20" xfId="0" applyNumberFormat="1" applyFont="1" applyFill="1" applyBorder="1" applyAlignment="1">
      <alignment horizontal="center"/>
    </xf>
    <xf numFmtId="0" fontId="1" fillId="2" borderId="0" xfId="0" applyFont="1" applyFill="1"/>
    <xf numFmtId="164" fontId="9" fillId="5" borderId="20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9" fillId="2" borderId="47" xfId="0" applyFont="1" applyFill="1" applyBorder="1" applyAlignment="1">
      <alignment horizontal="right"/>
    </xf>
    <xf numFmtId="2" fontId="9" fillId="5" borderId="23" xfId="0" applyNumberFormat="1" applyFont="1" applyFill="1" applyBorder="1" applyAlignment="1">
      <alignment horizontal="center"/>
    </xf>
    <xf numFmtId="0" fontId="9" fillId="2" borderId="9" xfId="0" applyFont="1" applyFill="1" applyBorder="1" applyAlignment="1">
      <alignment horizontal="right"/>
    </xf>
    <xf numFmtId="171" fontId="10" fillId="5" borderId="9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0" fillId="4" borderId="34" xfId="0" applyNumberFormat="1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2" borderId="41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 wrapText="1"/>
    </xf>
    <xf numFmtId="0" fontId="9" fillId="2" borderId="16" xfId="0" applyFont="1" applyFill="1" applyBorder="1" applyAlignment="1">
      <alignment horizontal="center"/>
    </xf>
    <xf numFmtId="1" fontId="11" fillId="3" borderId="24" xfId="0" applyNumberFormat="1" applyFont="1" applyFill="1" applyBorder="1" applyAlignment="1" applyProtection="1">
      <alignment horizontal="center"/>
      <protection locked="0"/>
    </xf>
    <xf numFmtId="2" fontId="9" fillId="2" borderId="19" xfId="0" applyNumberFormat="1" applyFont="1" applyFill="1" applyBorder="1" applyAlignment="1">
      <alignment horizontal="center"/>
    </xf>
    <xf numFmtId="10" fontId="9" fillId="2" borderId="23" xfId="0" applyNumberFormat="1" applyFont="1" applyFill="1" applyBorder="1" applyAlignment="1">
      <alignment horizontal="center"/>
    </xf>
    <xf numFmtId="2" fontId="9" fillId="2" borderId="24" xfId="0" applyNumberFormat="1" applyFont="1" applyFill="1" applyBorder="1" applyAlignment="1">
      <alignment horizontal="center"/>
    </xf>
    <xf numFmtId="10" fontId="9" fillId="2" borderId="25" xfId="0" applyNumberFormat="1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1" fontId="11" fillId="3" borderId="28" xfId="0" applyNumberFormat="1" applyFont="1" applyFill="1" applyBorder="1" applyAlignment="1" applyProtection="1">
      <alignment horizontal="center"/>
      <protection locked="0"/>
    </xf>
    <xf numFmtId="2" fontId="9" fillId="2" borderId="28" xfId="0" applyNumberFormat="1" applyFont="1" applyFill="1" applyBorder="1" applyAlignment="1">
      <alignment horizontal="center"/>
    </xf>
    <xf numFmtId="10" fontId="9" fillId="2" borderId="29" xfId="0" applyNumberFormat="1" applyFont="1" applyFill="1" applyBorder="1" applyAlignment="1">
      <alignment horizontal="center"/>
    </xf>
    <xf numFmtId="2" fontId="9" fillId="2" borderId="1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71" fontId="9" fillId="2" borderId="50" xfId="0" applyNumberFormat="1" applyFont="1" applyFill="1" applyBorder="1" applyAlignment="1">
      <alignment horizontal="right"/>
    </xf>
    <xf numFmtId="10" fontId="11" fillId="5" borderId="20" xfId="0" applyNumberFormat="1" applyFont="1" applyFill="1" applyBorder="1" applyAlignment="1">
      <alignment horizontal="center"/>
    </xf>
    <xf numFmtId="0" fontId="9" fillId="2" borderId="16" xfId="0" applyFont="1" applyFill="1" applyBorder="1"/>
    <xf numFmtId="0" fontId="9" fillId="2" borderId="51" xfId="0" applyFont="1" applyFill="1" applyBorder="1"/>
    <xf numFmtId="10" fontId="11" fillId="4" borderId="20" xfId="0" applyNumberFormat="1" applyFont="1" applyFill="1" applyBorder="1" applyAlignment="1">
      <alignment horizontal="center"/>
    </xf>
    <xf numFmtId="0" fontId="9" fillId="2" borderId="36" xfId="0" applyFont="1" applyFill="1" applyBorder="1"/>
    <xf numFmtId="0" fontId="9" fillId="2" borderId="52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right"/>
    </xf>
    <xf numFmtId="0" fontId="11" fillId="5" borderId="10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/>
    <xf numFmtId="0" fontId="9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4" xfId="0" applyFont="1" applyFill="1" applyBorder="1"/>
    <xf numFmtId="0" fontId="9" fillId="2" borderId="4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0" fontId="22" fillId="2" borderId="0" xfId="1" applyFont="1"/>
    <xf numFmtId="0" fontId="22" fillId="2" borderId="0" xfId="1" applyFont="1" applyBorder="1"/>
    <xf numFmtId="164" fontId="6" fillId="2" borderId="6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8" fillId="2" borderId="11" xfId="0" applyFont="1" applyFill="1" applyBorder="1" applyAlignment="1">
      <alignment horizontal="center" wrapText="1"/>
    </xf>
    <xf numFmtId="0" fontId="8" fillId="2" borderId="12" xfId="0" applyFont="1" applyFill="1" applyBorder="1" applyAlignment="1">
      <alignment horizontal="center" wrapText="1"/>
    </xf>
    <xf numFmtId="165" fontId="4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18" fillId="2" borderId="14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left" vertical="center" wrapText="1"/>
    </xf>
    <xf numFmtId="0" fontId="18" fillId="2" borderId="36" xfId="0" applyFont="1" applyFill="1" applyBorder="1" applyAlignment="1">
      <alignment horizontal="left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justify" vertical="center" wrapText="1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0" fillId="2" borderId="41" xfId="0" applyFont="1" applyFill="1" applyBorder="1" applyAlignment="1">
      <alignment horizontal="center"/>
    </xf>
    <xf numFmtId="0" fontId="10" fillId="2" borderId="54" xfId="0" applyFont="1" applyFill="1" applyBorder="1" applyAlignment="1">
      <alignment horizontal="center"/>
    </xf>
    <xf numFmtId="10" fontId="14" fillId="2" borderId="7" xfId="0" applyNumberFormat="1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2" fontId="11" fillId="3" borderId="6" xfId="0" applyNumberFormat="1" applyFont="1" applyFill="1" applyBorder="1" applyAlignment="1" applyProtection="1">
      <alignment horizontal="center" vertical="center"/>
      <protection locked="0"/>
    </xf>
    <xf numFmtId="2" fontId="11" fillId="3" borderId="7" xfId="0" applyNumberFormat="1" applyFont="1" applyFill="1" applyBorder="1" applyAlignment="1" applyProtection="1">
      <alignment horizontal="center" vertical="center"/>
      <protection locked="0"/>
    </xf>
    <xf numFmtId="2" fontId="11" fillId="3" borderId="8" xfId="0" applyNumberFormat="1" applyFont="1" applyFill="1" applyBorder="1" applyAlignment="1" applyProtection="1">
      <alignment horizontal="center" vertical="center"/>
      <protection locked="0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1" fillId="3" borderId="0" xfId="0" applyFont="1" applyFill="1" applyAlignment="1" applyProtection="1">
      <alignment horizontal="left"/>
      <protection locked="0"/>
    </xf>
    <xf numFmtId="0" fontId="10" fillId="2" borderId="1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/>
      <protection locked="0"/>
    </xf>
    <xf numFmtId="0" fontId="10" fillId="2" borderId="33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 wrapText="1"/>
      <protection locked="0"/>
    </xf>
    <xf numFmtId="0" fontId="18" fillId="2" borderId="11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167" fontId="26" fillId="2" borderId="0" xfId="1" applyNumberFormat="1" applyFont="1" applyFill="1" applyBorder="1" applyAlignment="1">
      <alignment horizontal="center"/>
    </xf>
    <xf numFmtId="0" fontId="26" fillId="2" borderId="56" xfId="1" applyFont="1" applyFill="1" applyBorder="1" applyAlignment="1">
      <alignment horizontal="center"/>
    </xf>
    <xf numFmtId="0" fontId="26" fillId="2" borderId="0" xfId="1" applyFont="1" applyAlignment="1">
      <alignment horizontal="right"/>
    </xf>
    <xf numFmtId="0" fontId="27" fillId="2" borderId="0" xfId="1" applyFont="1" applyBorder="1" applyAlignment="1">
      <alignment horizontal="center"/>
    </xf>
    <xf numFmtId="0" fontId="24" fillId="2" borderId="0" xfId="1" applyFont="1" applyBorder="1" applyAlignment="1">
      <alignment horizontal="center"/>
    </xf>
    <xf numFmtId="166" fontId="27" fillId="2" borderId="0" xfId="1" applyNumberFormat="1" applyFont="1" applyBorder="1" applyAlignment="1">
      <alignment horizontal="center"/>
    </xf>
    <xf numFmtId="0" fontId="23" fillId="2" borderId="0" xfId="1" applyFont="1"/>
    <xf numFmtId="0" fontId="23" fillId="2" borderId="0" xfId="1" applyFont="1" applyAlignment="1">
      <alignment horizontal="left"/>
    </xf>
    <xf numFmtId="0" fontId="27" fillId="2" borderId="0" xfId="1" applyFont="1"/>
    <xf numFmtId="0" fontId="26" fillId="2" borderId="0" xfId="1" applyFont="1"/>
    <xf numFmtId="0" fontId="26" fillId="2" borderId="0" xfId="1" applyFont="1" applyAlignment="1">
      <alignment horizontal="left"/>
    </xf>
    <xf numFmtId="2" fontId="26" fillId="2" borderId="0" xfId="1" applyNumberFormat="1" applyFont="1" applyAlignment="1">
      <alignment horizontal="center"/>
    </xf>
    <xf numFmtId="0" fontId="26" fillId="2" borderId="0" xfId="1" quotePrefix="1" applyFont="1" applyAlignment="1">
      <alignment horizontal="left"/>
    </xf>
    <xf numFmtId="165" fontId="26" fillId="2" borderId="0" xfId="1" applyNumberFormat="1" applyFont="1" applyAlignment="1">
      <alignment horizontal="center"/>
    </xf>
    <xf numFmtId="0" fontId="26" fillId="2" borderId="60" xfId="1" applyFont="1" applyBorder="1" applyAlignment="1">
      <alignment horizontal="center"/>
    </xf>
    <xf numFmtId="0" fontId="26" fillId="2" borderId="64" xfId="1" quotePrefix="1" applyFont="1" applyBorder="1" applyAlignment="1">
      <alignment horizontal="center"/>
    </xf>
    <xf numFmtId="0" fontId="26" fillId="2" borderId="60" xfId="1" quotePrefix="1" applyFont="1" applyBorder="1" applyAlignment="1">
      <alignment horizontal="center"/>
    </xf>
    <xf numFmtId="0" fontId="27" fillId="2" borderId="63" xfId="1" applyFont="1" applyBorder="1" applyAlignment="1">
      <alignment horizontal="center"/>
    </xf>
    <xf numFmtId="0" fontId="27" fillId="8" borderId="63" xfId="1" applyFont="1" applyFill="1" applyBorder="1" applyAlignment="1" applyProtection="1">
      <alignment horizontal="center"/>
      <protection locked="0"/>
    </xf>
    <xf numFmtId="2" fontId="27" fillId="8" borderId="63" xfId="1" applyNumberFormat="1" applyFont="1" applyFill="1" applyBorder="1" applyAlignment="1" applyProtection="1">
      <alignment horizontal="center"/>
      <protection locked="0"/>
    </xf>
    <xf numFmtId="2" fontId="27" fillId="8" borderId="65" xfId="1" applyNumberFormat="1" applyFont="1" applyFill="1" applyBorder="1" applyAlignment="1" applyProtection="1">
      <alignment horizontal="center"/>
      <protection locked="0"/>
    </xf>
    <xf numFmtId="0" fontId="27" fillId="8" borderId="61" xfId="1" applyFont="1" applyFill="1" applyBorder="1" applyAlignment="1" applyProtection="1">
      <alignment horizontal="center"/>
      <protection locked="0"/>
    </xf>
    <xf numFmtId="2" fontId="27" fillId="8" borderId="61" xfId="1" applyNumberFormat="1" applyFont="1" applyFill="1" applyBorder="1" applyAlignment="1" applyProtection="1">
      <alignment horizontal="center"/>
      <protection locked="0"/>
    </xf>
    <xf numFmtId="0" fontId="27" fillId="2" borderId="65" xfId="1" applyFont="1" applyBorder="1"/>
    <xf numFmtId="1" fontId="26" fillId="6" borderId="64" xfId="1" applyNumberFormat="1" applyFont="1" applyFill="1" applyBorder="1" applyAlignment="1">
      <alignment horizontal="center"/>
    </xf>
    <xf numFmtId="1" fontId="26" fillId="6" borderId="60" xfId="1" applyNumberFormat="1" applyFont="1" applyFill="1" applyBorder="1" applyAlignment="1">
      <alignment horizontal="center"/>
    </xf>
    <xf numFmtId="2" fontId="26" fillId="6" borderId="60" xfId="1" applyNumberFormat="1" applyFont="1" applyFill="1" applyBorder="1" applyAlignment="1">
      <alignment horizontal="center"/>
    </xf>
    <xf numFmtId="0" fontId="27" fillId="2" borderId="63" xfId="1" applyFont="1" applyBorder="1"/>
    <xf numFmtId="10" fontId="26" fillId="7" borderId="60" xfId="1" applyNumberFormat="1" applyFont="1" applyFill="1" applyBorder="1" applyAlignment="1">
      <alignment horizontal="center"/>
    </xf>
    <xf numFmtId="0" fontId="27" fillId="2" borderId="62" xfId="1" applyFont="1" applyBorder="1"/>
    <xf numFmtId="0" fontId="27" fillId="2" borderId="61" xfId="1" applyFont="1" applyBorder="1"/>
    <xf numFmtId="0" fontId="26" fillId="6" borderId="60" xfId="1" applyFont="1" applyFill="1" applyBorder="1" applyAlignment="1">
      <alignment horizontal="center"/>
    </xf>
    <xf numFmtId="0" fontId="27" fillId="2" borderId="56" xfId="1" applyFont="1" applyBorder="1"/>
    <xf numFmtId="0" fontId="27" fillId="2" borderId="59" xfId="1" applyFont="1" applyBorder="1"/>
    <xf numFmtId="0" fontId="27" fillId="2" borderId="0" xfId="1" applyFont="1" applyBorder="1"/>
    <xf numFmtId="0" fontId="27" fillId="2" borderId="0" xfId="1" quotePrefix="1" applyFont="1" applyAlignment="1" applyProtection="1">
      <alignment horizontal="left"/>
      <protection locked="0"/>
    </xf>
    <xf numFmtId="0" fontId="27" fillId="2" borderId="0" xfId="1" applyFont="1" applyProtection="1">
      <protection locked="0"/>
    </xf>
    <xf numFmtId="0" fontId="27" fillId="2" borderId="0" xfId="1" applyFont="1" applyBorder="1" applyProtection="1">
      <protection locked="0"/>
    </xf>
    <xf numFmtId="0" fontId="27" fillId="2" borderId="0" xfId="1" applyFont="1" applyAlignment="1" applyProtection="1">
      <alignment horizontal="left"/>
      <protection locked="0"/>
    </xf>
    <xf numFmtId="0" fontId="22" fillId="2" borderId="58" xfId="1" applyFont="1" applyBorder="1"/>
    <xf numFmtId="0" fontId="22" fillId="2" borderId="0" xfId="1" applyFont="1" applyAlignment="1">
      <alignment horizontal="center"/>
    </xf>
    <xf numFmtId="10" fontId="22" fillId="2" borderId="58" xfId="2" applyNumberFormat="1" applyFont="1" applyBorder="1"/>
    <xf numFmtId="0" fontId="21" fillId="2" borderId="0" xfId="1"/>
    <xf numFmtId="0" fontId="26" fillId="2" borderId="57" xfId="1" applyFont="1" applyBorder="1" applyAlignment="1"/>
    <xf numFmtId="0" fontId="26" fillId="2" borderId="57" xfId="1" applyFont="1" applyBorder="1" applyAlignment="1">
      <alignment horizontal="center"/>
    </xf>
    <xf numFmtId="0" fontId="27" fillId="2" borderId="57" xfId="1" applyFont="1" applyBorder="1" applyAlignment="1">
      <alignment horizontal="center"/>
    </xf>
    <xf numFmtId="0" fontId="26" fillId="2" borderId="0" xfId="1" applyFont="1" applyBorder="1" applyAlignment="1">
      <alignment horizontal="right"/>
    </xf>
    <xf numFmtId="0" fontId="22" fillId="2" borderId="56" xfId="1" quotePrefix="1" applyFont="1" applyBorder="1" applyAlignment="1"/>
    <xf numFmtId="0" fontId="22" fillId="2" borderId="0" xfId="1" quotePrefix="1" applyFont="1" applyBorder="1" applyAlignment="1"/>
    <xf numFmtId="0" fontId="22" fillId="2" borderId="56" xfId="1" applyFont="1" applyBorder="1" applyAlignment="1"/>
    <xf numFmtId="0" fontId="25" fillId="2" borderId="55" xfId="1" applyFont="1" applyBorder="1" applyAlignment="1"/>
    <xf numFmtId="0" fontId="25" fillId="2" borderId="0" xfId="1" applyFont="1" applyBorder="1" applyAlignment="1"/>
    <xf numFmtId="0" fontId="22" fillId="2" borderId="55" xfId="1" applyFont="1" applyBorder="1" applyAlignment="1"/>
  </cellXfs>
  <cellStyles count="3">
    <cellStyle name="Normal" xfId="0" builtinId="0"/>
    <cellStyle name="Normal 2" xfId="1"/>
    <cellStyle name="Percent 2" xfId="2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B8" sqref="B8"/>
    </sheetView>
  </sheetViews>
  <sheetFormatPr defaultRowHeight="12.75" x14ac:dyDescent="0.2"/>
  <cols>
    <col min="1" max="1" width="35.140625" bestFit="1" customWidth="1"/>
    <col min="2" max="2" width="41.42578125" customWidth="1"/>
    <col min="3" max="3" width="31.85546875" customWidth="1"/>
    <col min="4" max="5" width="30.28515625" bestFit="1" customWidth="1"/>
    <col min="6" max="6" width="23.140625" customWidth="1"/>
  </cols>
  <sheetData>
    <row r="1" spans="1:6" ht="18.75" x14ac:dyDescent="0.3">
      <c r="A1" s="273" t="s">
        <v>2</v>
      </c>
      <c r="B1" s="274" t="str">
        <f>Fluconazole!B4</f>
        <v>Fluconazole Tablets 200mg</v>
      </c>
      <c r="C1" s="275"/>
      <c r="D1" s="275"/>
      <c r="E1" s="275"/>
      <c r="F1" s="275"/>
    </row>
    <row r="2" spans="1:6" ht="18.75" x14ac:dyDescent="0.3">
      <c r="A2" s="273" t="s">
        <v>4</v>
      </c>
      <c r="B2" s="274" t="s">
        <v>105</v>
      </c>
      <c r="C2" s="275"/>
      <c r="D2" s="275"/>
      <c r="E2" s="275"/>
      <c r="F2" s="275"/>
    </row>
    <row r="3" spans="1:6" ht="18.75" x14ac:dyDescent="0.3">
      <c r="A3" s="273" t="s">
        <v>6</v>
      </c>
      <c r="B3" s="274" t="str">
        <f>Fluconazole!B6</f>
        <v>Fluconazole Ph. Eur.</v>
      </c>
      <c r="C3" s="275"/>
      <c r="D3" s="275"/>
      <c r="E3" s="275"/>
      <c r="F3" s="275"/>
    </row>
    <row r="4" spans="1:6" ht="18.75" x14ac:dyDescent="0.3">
      <c r="A4" s="273" t="s">
        <v>8</v>
      </c>
      <c r="B4" s="274" t="str">
        <f>Fluconazole!B7</f>
        <v>Fluconazole Ph. Eur. 200mg</v>
      </c>
      <c r="C4" s="275"/>
      <c r="D4" s="275"/>
      <c r="E4" s="275"/>
      <c r="F4" s="275"/>
    </row>
    <row r="5" spans="1:6" ht="18.75" x14ac:dyDescent="0.3">
      <c r="A5" s="273" t="s">
        <v>10</v>
      </c>
      <c r="B5" s="276">
        <f>Fluconazole!B8</f>
        <v>42089</v>
      </c>
      <c r="C5" s="275"/>
      <c r="D5" s="275"/>
      <c r="E5" s="275"/>
      <c r="F5" s="275"/>
    </row>
    <row r="6" spans="1:6" ht="18.75" x14ac:dyDescent="0.3">
      <c r="A6" s="273" t="s">
        <v>11</v>
      </c>
      <c r="B6" s="276">
        <f>Fluconazole!B9</f>
        <v>42103</v>
      </c>
      <c r="C6" s="275"/>
      <c r="D6" s="275"/>
      <c r="E6" s="275"/>
      <c r="F6" s="275"/>
    </row>
    <row r="7" spans="1:6" ht="13.5" x14ac:dyDescent="0.25">
      <c r="A7" s="225"/>
      <c r="B7" s="225"/>
      <c r="C7" s="225"/>
      <c r="D7" s="225"/>
      <c r="E7" s="225"/>
      <c r="F7" s="226"/>
    </row>
    <row r="8" spans="1:6" ht="18.75" x14ac:dyDescent="0.3">
      <c r="A8" s="277" t="s">
        <v>12</v>
      </c>
      <c r="B8" s="278" t="s">
        <v>116</v>
      </c>
      <c r="C8" s="279"/>
      <c r="D8" s="279"/>
      <c r="E8" s="279"/>
      <c r="F8" s="226"/>
    </row>
    <row r="9" spans="1:6" ht="18.75" x14ac:dyDescent="0.3">
      <c r="A9" s="280" t="s">
        <v>25</v>
      </c>
      <c r="B9" s="281" t="str">
        <f>Fluconazole!B12</f>
        <v>Fluconazole</v>
      </c>
      <c r="C9" s="279"/>
      <c r="D9" s="279"/>
      <c r="E9" s="279"/>
      <c r="F9" s="225"/>
    </row>
    <row r="10" spans="1:6" ht="18.75" x14ac:dyDescent="0.3">
      <c r="A10" s="280" t="s">
        <v>27</v>
      </c>
      <c r="B10" s="282"/>
      <c r="C10" s="279"/>
      <c r="D10" s="279"/>
      <c r="E10" s="279"/>
      <c r="F10" s="225"/>
    </row>
    <row r="11" spans="1:6" ht="18.75" x14ac:dyDescent="0.3">
      <c r="A11" s="283" t="s">
        <v>115</v>
      </c>
      <c r="B11" s="282">
        <f>Fluconazole!B14</f>
        <v>99.4</v>
      </c>
      <c r="C11" s="279"/>
      <c r="D11" s="279"/>
      <c r="E11" s="279"/>
      <c r="F11" s="225"/>
    </row>
    <row r="12" spans="1:6" ht="18.75" x14ac:dyDescent="0.3">
      <c r="A12" s="283" t="s">
        <v>114</v>
      </c>
      <c r="B12" s="284">
        <f>Fluconazole!D33</f>
        <v>0.2</v>
      </c>
      <c r="C12" s="279"/>
      <c r="D12" s="279"/>
      <c r="E12" s="279"/>
      <c r="F12" s="225"/>
    </row>
    <row r="13" spans="1:6" ht="18.75" x14ac:dyDescent="0.3">
      <c r="A13" s="279"/>
      <c r="B13" s="279"/>
      <c r="C13" s="279"/>
      <c r="D13" s="279"/>
      <c r="E13" s="279"/>
      <c r="F13" s="225"/>
    </row>
    <row r="14" spans="1:6" ht="18.75" x14ac:dyDescent="0.3">
      <c r="A14" s="285" t="s">
        <v>113</v>
      </c>
      <c r="B14" s="286" t="s">
        <v>112</v>
      </c>
      <c r="C14" s="285" t="s">
        <v>111</v>
      </c>
      <c r="D14" s="285" t="s">
        <v>110</v>
      </c>
      <c r="E14" s="287" t="s">
        <v>109</v>
      </c>
      <c r="F14" s="225"/>
    </row>
    <row r="15" spans="1:6" ht="18.75" x14ac:dyDescent="0.3">
      <c r="A15" s="288">
        <v>1</v>
      </c>
      <c r="B15" s="289">
        <v>7899682</v>
      </c>
      <c r="C15" s="289">
        <v>7205.8</v>
      </c>
      <c r="D15" s="290">
        <v>1.6</v>
      </c>
      <c r="E15" s="291">
        <v>8.1</v>
      </c>
      <c r="F15" s="225"/>
    </row>
    <row r="16" spans="1:6" ht="18.75" x14ac:dyDescent="0.3">
      <c r="A16" s="288">
        <v>2</v>
      </c>
      <c r="B16" s="289">
        <v>7913437</v>
      </c>
      <c r="C16" s="289">
        <v>7198.5</v>
      </c>
      <c r="D16" s="290">
        <v>1.6</v>
      </c>
      <c r="E16" s="290">
        <v>8.1</v>
      </c>
      <c r="F16" s="225"/>
    </row>
    <row r="17" spans="1:6" ht="18.75" x14ac:dyDescent="0.3">
      <c r="A17" s="288">
        <v>3</v>
      </c>
      <c r="B17" s="289">
        <v>7928158</v>
      </c>
      <c r="C17" s="289">
        <v>7201.5</v>
      </c>
      <c r="D17" s="290">
        <v>1.6</v>
      </c>
      <c r="E17" s="290">
        <v>8.1</v>
      </c>
      <c r="F17" s="225"/>
    </row>
    <row r="18" spans="1:6" ht="18.75" x14ac:dyDescent="0.3">
      <c r="A18" s="288">
        <v>4</v>
      </c>
      <c r="B18" s="289">
        <v>7962424</v>
      </c>
      <c r="C18" s="289">
        <v>7199</v>
      </c>
      <c r="D18" s="290">
        <v>1.6</v>
      </c>
      <c r="E18" s="290">
        <v>8.1</v>
      </c>
      <c r="F18" s="225"/>
    </row>
    <row r="19" spans="1:6" ht="18.75" x14ac:dyDescent="0.3">
      <c r="A19" s="288">
        <v>5</v>
      </c>
      <c r="B19" s="289">
        <v>7987497</v>
      </c>
      <c r="C19" s="289">
        <v>7195.5</v>
      </c>
      <c r="D19" s="290">
        <v>1.6</v>
      </c>
      <c r="E19" s="290">
        <v>8.1</v>
      </c>
      <c r="F19" s="225"/>
    </row>
    <row r="20" spans="1:6" ht="18.75" x14ac:dyDescent="0.3">
      <c r="A20" s="288">
        <v>6</v>
      </c>
      <c r="B20" s="292">
        <v>7960684</v>
      </c>
      <c r="C20" s="292">
        <v>7196.9</v>
      </c>
      <c r="D20" s="293">
        <v>1.6</v>
      </c>
      <c r="E20" s="293">
        <v>8.1</v>
      </c>
      <c r="F20" s="225"/>
    </row>
    <row r="21" spans="1:6" ht="18.75" x14ac:dyDescent="0.3">
      <c r="A21" s="294" t="s">
        <v>108</v>
      </c>
      <c r="B21" s="295">
        <f>AVERAGE(B15:B20)</f>
        <v>7941980.333333333</v>
      </c>
      <c r="C21" s="296">
        <f>AVERAGE(C15:C20)</f>
        <v>7199.5333333333338</v>
      </c>
      <c r="D21" s="297">
        <f>AVERAGE(D15:D20)</f>
        <v>1.5999999999999999</v>
      </c>
      <c r="E21" s="297">
        <f>AVERAGE(E15:E20)</f>
        <v>8.1</v>
      </c>
      <c r="F21" s="225"/>
    </row>
    <row r="22" spans="1:6" ht="18.75" x14ac:dyDescent="0.3">
      <c r="A22" s="298" t="s">
        <v>107</v>
      </c>
      <c r="B22" s="299">
        <f>(STDEV(B15:B20)/B21)</f>
        <v>4.2268082637568353E-3</v>
      </c>
      <c r="C22" s="271"/>
      <c r="D22" s="271"/>
      <c r="E22" s="300"/>
      <c r="F22" s="226"/>
    </row>
    <row r="23" spans="1:6" ht="18.75" x14ac:dyDescent="0.3">
      <c r="A23" s="301" t="s">
        <v>64</v>
      </c>
      <c r="B23" s="302">
        <f>COUNT(B15:B20)</f>
        <v>6</v>
      </c>
      <c r="C23" s="272"/>
      <c r="D23" s="303"/>
      <c r="E23" s="304"/>
      <c r="F23" s="226"/>
    </row>
    <row r="24" spans="1:6" ht="18.75" x14ac:dyDescent="0.3">
      <c r="A24" s="279"/>
      <c r="B24" s="279"/>
      <c r="C24" s="279"/>
      <c r="D24" s="279"/>
      <c r="E24" s="305"/>
      <c r="F24" s="226"/>
    </row>
    <row r="25" spans="1:6" ht="18.75" x14ac:dyDescent="0.3">
      <c r="A25" s="280" t="s">
        <v>106</v>
      </c>
      <c r="B25" s="306" t="s">
        <v>117</v>
      </c>
      <c r="C25" s="307"/>
      <c r="D25" s="307"/>
      <c r="E25" s="308"/>
      <c r="F25" s="226"/>
    </row>
    <row r="26" spans="1:6" ht="18.75" x14ac:dyDescent="0.3">
      <c r="A26" s="280"/>
      <c r="B26" s="306" t="s">
        <v>118</v>
      </c>
      <c r="C26" s="307"/>
      <c r="D26" s="307"/>
      <c r="E26" s="308"/>
      <c r="F26" s="226"/>
    </row>
    <row r="27" spans="1:6" ht="18.75" x14ac:dyDescent="0.3">
      <c r="A27" s="280"/>
      <c r="B27" s="309" t="s">
        <v>119</v>
      </c>
      <c r="C27" s="307"/>
      <c r="D27" s="307"/>
      <c r="E27" s="307"/>
      <c r="F27" s="225"/>
    </row>
    <row r="28" spans="1:6" ht="14.25" thickBot="1" x14ac:dyDescent="0.3">
      <c r="A28" s="310"/>
      <c r="B28" s="311"/>
      <c r="C28" s="225"/>
      <c r="D28" s="312"/>
      <c r="E28" s="225"/>
      <c r="F28" s="313"/>
    </row>
    <row r="29" spans="1:6" ht="18.75" x14ac:dyDescent="0.3">
      <c r="A29" s="225"/>
      <c r="B29" s="314" t="s">
        <v>19</v>
      </c>
      <c r="C29" s="314"/>
      <c r="D29" s="315" t="s">
        <v>20</v>
      </c>
      <c r="E29" s="316"/>
      <c r="F29" s="315" t="s">
        <v>21</v>
      </c>
    </row>
    <row r="30" spans="1:6" ht="18.75" x14ac:dyDescent="0.3">
      <c r="A30" s="317" t="s">
        <v>22</v>
      </c>
      <c r="B30" s="318" t="s">
        <v>120</v>
      </c>
      <c r="C30" s="319"/>
      <c r="D30" s="318" t="s">
        <v>121</v>
      </c>
      <c r="E30" s="226"/>
      <c r="F30" s="320"/>
    </row>
    <row r="31" spans="1:6" ht="18.75" x14ac:dyDescent="0.3">
      <c r="A31" s="317" t="s">
        <v>23</v>
      </c>
      <c r="B31" s="321"/>
      <c r="C31" s="322"/>
      <c r="D31" s="321"/>
      <c r="E31" s="226"/>
      <c r="F31" s="3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view="pageBreakPreview" workbookViewId="0">
      <selection activeCell="H12" sqref="H12"/>
    </sheetView>
  </sheetViews>
  <sheetFormatPr defaultRowHeight="12.75" x14ac:dyDescent="0.2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12.28515625" style="1" customWidth="1"/>
    <col min="7" max="7" width="9.140625" style="1" customWidth="1"/>
  </cols>
  <sheetData>
    <row r="1" spans="1:6" ht="13.5" customHeight="1" thickBot="1" x14ac:dyDescent="0.3">
      <c r="A1" s="230" t="s">
        <v>0</v>
      </c>
      <c r="B1" s="231"/>
      <c r="C1" s="231"/>
      <c r="D1" s="231"/>
      <c r="E1" s="231"/>
      <c r="F1" s="39"/>
    </row>
    <row r="2" spans="1:6" ht="16.5" customHeight="1" x14ac:dyDescent="0.3">
      <c r="A2" s="229" t="s">
        <v>1</v>
      </c>
      <c r="B2" s="229"/>
      <c r="C2" s="229"/>
      <c r="D2" s="229"/>
      <c r="E2" s="229"/>
      <c r="F2" s="38"/>
    </row>
    <row r="4" spans="1:6" ht="16.5" customHeight="1" x14ac:dyDescent="0.3">
      <c r="A4" s="233" t="s">
        <v>2</v>
      </c>
      <c r="B4" s="233"/>
      <c r="C4" s="10" t="s">
        <v>3</v>
      </c>
    </row>
    <row r="5" spans="1:6" ht="16.5" customHeight="1" x14ac:dyDescent="0.3">
      <c r="A5" s="233" t="s">
        <v>4</v>
      </c>
      <c r="B5" s="233"/>
      <c r="C5" s="10" t="s">
        <v>5</v>
      </c>
    </row>
    <row r="6" spans="1:6" ht="16.5" customHeight="1" x14ac:dyDescent="0.3">
      <c r="A6" s="233" t="s">
        <v>6</v>
      </c>
      <c r="B6" s="233"/>
      <c r="C6" s="10" t="s">
        <v>7</v>
      </c>
    </row>
    <row r="7" spans="1:6" ht="16.5" customHeight="1" x14ac:dyDescent="0.3">
      <c r="A7" s="233" t="s">
        <v>8</v>
      </c>
      <c r="B7" s="233"/>
      <c r="C7" s="10" t="s">
        <v>9</v>
      </c>
    </row>
    <row r="8" spans="1:6" ht="16.5" customHeight="1" x14ac:dyDescent="0.3">
      <c r="A8" s="233" t="s">
        <v>10</v>
      </c>
      <c r="B8" s="233"/>
      <c r="C8" s="45">
        <f>Fluconazole!B8</f>
        <v>42089</v>
      </c>
    </row>
    <row r="9" spans="1:6" ht="16.5" customHeight="1" x14ac:dyDescent="0.3">
      <c r="A9" s="233" t="s">
        <v>11</v>
      </c>
      <c r="B9" s="233"/>
      <c r="C9" s="45">
        <f>Fluconazole!B9</f>
        <v>42103</v>
      </c>
    </row>
    <row r="10" spans="1:6" ht="16.5" customHeight="1" x14ac:dyDescent="0.3">
      <c r="A10" s="12"/>
      <c r="B10" s="12"/>
      <c r="C10" s="25"/>
    </row>
    <row r="11" spans="1:6" ht="16.5" customHeight="1" x14ac:dyDescent="0.3">
      <c r="A11" s="229" t="s">
        <v>12</v>
      </c>
      <c r="B11" s="229"/>
      <c r="C11" s="9" t="s">
        <v>13</v>
      </c>
      <c r="D11" s="16"/>
    </row>
    <row r="12" spans="1:6" ht="15.75" customHeight="1" thickBot="1" x14ac:dyDescent="0.35">
      <c r="A12" s="232"/>
      <c r="B12" s="232"/>
      <c r="C12" s="7"/>
      <c r="D12" s="232"/>
      <c r="E12" s="232"/>
    </row>
    <row r="13" spans="1:6" ht="33.75" customHeight="1" thickBot="1" x14ac:dyDescent="0.35">
      <c r="C13" s="34" t="s">
        <v>14</v>
      </c>
      <c r="D13" s="33" t="s">
        <v>15</v>
      </c>
      <c r="E13" s="2"/>
    </row>
    <row r="14" spans="1:6" ht="15.75" customHeight="1" x14ac:dyDescent="0.25">
      <c r="C14" s="43">
        <v>483.49</v>
      </c>
      <c r="D14" s="35">
        <f t="shared" ref="D14:D33" si="0">(C14-$C$36)/$C$36</f>
        <v>9.6268309093750577E-4</v>
      </c>
      <c r="E14" s="3"/>
    </row>
    <row r="15" spans="1:6" ht="15.75" customHeight="1" x14ac:dyDescent="0.25">
      <c r="C15" s="43">
        <v>490.99</v>
      </c>
      <c r="D15" s="36">
        <f t="shared" si="0"/>
        <v>1.6489829718958831E-2</v>
      </c>
      <c r="E15" s="3"/>
    </row>
    <row r="16" spans="1:6" ht="15.75" customHeight="1" x14ac:dyDescent="0.25">
      <c r="C16" s="43">
        <v>490.01</v>
      </c>
      <c r="D16" s="36">
        <f t="shared" si="0"/>
        <v>1.4460949226230676E-2</v>
      </c>
      <c r="E16" s="3"/>
    </row>
    <row r="17" spans="3:5" ht="15.75" customHeight="1" x14ac:dyDescent="0.25">
      <c r="C17" s="43">
        <v>482</v>
      </c>
      <c r="D17" s="36">
        <f t="shared" si="0"/>
        <v>-2.1220433724960831E-3</v>
      </c>
      <c r="E17" s="3"/>
    </row>
    <row r="18" spans="3:5" ht="15.75" customHeight="1" x14ac:dyDescent="0.25">
      <c r="C18" s="43">
        <v>479.15</v>
      </c>
      <c r="D18" s="36">
        <f t="shared" si="0"/>
        <v>-8.0223590911442343E-3</v>
      </c>
      <c r="E18" s="3"/>
    </row>
    <row r="19" spans="3:5" ht="15.75" customHeight="1" x14ac:dyDescent="0.25">
      <c r="C19" s="43">
        <v>483.72</v>
      </c>
      <c r="D19" s="36">
        <f t="shared" si="0"/>
        <v>1.4388489208635308E-3</v>
      </c>
      <c r="E19" s="3"/>
    </row>
    <row r="20" spans="3:5" ht="15.75" customHeight="1" x14ac:dyDescent="0.25">
      <c r="C20" s="43">
        <v>484.85</v>
      </c>
      <c r="D20" s="36">
        <f t="shared" si="0"/>
        <v>3.778272346152068E-3</v>
      </c>
      <c r="E20" s="3"/>
    </row>
    <row r="21" spans="3:5" ht="15.75" customHeight="1" x14ac:dyDescent="0.25">
      <c r="C21" s="43">
        <v>488.79</v>
      </c>
      <c r="D21" s="36">
        <f t="shared" si="0"/>
        <v>1.1935200041405934E-2</v>
      </c>
      <c r="E21" s="3"/>
    </row>
    <row r="22" spans="3:5" ht="15.75" customHeight="1" x14ac:dyDescent="0.25">
      <c r="C22" s="43">
        <v>476.91</v>
      </c>
      <c r="D22" s="36">
        <f t="shared" si="0"/>
        <v>-1.2659800217379839E-2</v>
      </c>
      <c r="E22" s="3"/>
    </row>
    <row r="23" spans="3:5" ht="15.75" customHeight="1" x14ac:dyDescent="0.25">
      <c r="C23" s="43">
        <v>483.85</v>
      </c>
      <c r="D23" s="36">
        <f t="shared" si="0"/>
        <v>1.7079861290825577E-3</v>
      </c>
      <c r="E23" s="3"/>
    </row>
    <row r="24" spans="3:5" ht="15.75" customHeight="1" x14ac:dyDescent="0.25">
      <c r="C24" s="43">
        <v>483.86</v>
      </c>
      <c r="D24" s="36">
        <f t="shared" si="0"/>
        <v>1.7286889912532339E-3</v>
      </c>
      <c r="E24" s="3"/>
    </row>
    <row r="25" spans="3:5" ht="15.75" customHeight="1" x14ac:dyDescent="0.25">
      <c r="C25" s="43">
        <v>485.61</v>
      </c>
      <c r="D25" s="36">
        <f t="shared" si="0"/>
        <v>5.3516898711248768E-3</v>
      </c>
      <c r="E25" s="3"/>
    </row>
    <row r="26" spans="3:5" ht="15.75" customHeight="1" x14ac:dyDescent="0.25">
      <c r="C26" s="43">
        <v>481.4</v>
      </c>
      <c r="D26" s="36">
        <f t="shared" si="0"/>
        <v>-3.3642151027378363E-3</v>
      </c>
      <c r="E26" s="3"/>
    </row>
    <row r="27" spans="3:5" ht="15.75" customHeight="1" x14ac:dyDescent="0.25">
      <c r="C27" s="43">
        <v>478.24</v>
      </c>
      <c r="D27" s="36">
        <f t="shared" si="0"/>
        <v>-9.9063195486774232E-3</v>
      </c>
      <c r="E27" s="3"/>
    </row>
    <row r="28" spans="3:5" ht="15.75" customHeight="1" x14ac:dyDescent="0.25">
      <c r="C28" s="43">
        <v>481.38</v>
      </c>
      <c r="D28" s="36">
        <f t="shared" si="0"/>
        <v>-3.4056208270791888E-3</v>
      </c>
      <c r="E28" s="3"/>
    </row>
    <row r="29" spans="3:5" ht="15.75" customHeight="1" x14ac:dyDescent="0.25">
      <c r="C29" s="43">
        <v>477.31</v>
      </c>
      <c r="D29" s="36">
        <f t="shared" si="0"/>
        <v>-1.1831685730552082E-2</v>
      </c>
      <c r="E29" s="3"/>
    </row>
    <row r="30" spans="3:5" ht="15.75" customHeight="1" x14ac:dyDescent="0.25">
      <c r="C30" s="43">
        <v>480.05</v>
      </c>
      <c r="D30" s="36">
        <f t="shared" si="0"/>
        <v>-6.1591014957816043E-3</v>
      </c>
      <c r="E30" s="3"/>
    </row>
    <row r="31" spans="3:5" ht="15.75" customHeight="1" x14ac:dyDescent="0.25">
      <c r="C31" s="43">
        <v>483.22</v>
      </c>
      <c r="D31" s="36">
        <f t="shared" si="0"/>
        <v>4.0370581232877572E-4</v>
      </c>
      <c r="E31" s="3"/>
    </row>
    <row r="32" spans="3:5" ht="15.75" customHeight="1" x14ac:dyDescent="0.25">
      <c r="C32" s="43">
        <v>488.42</v>
      </c>
      <c r="D32" s="36">
        <f t="shared" si="0"/>
        <v>1.1169194141090206E-2</v>
      </c>
      <c r="E32" s="3"/>
    </row>
    <row r="33" spans="1:6" ht="16.5" customHeight="1" thickBot="1" x14ac:dyDescent="0.3">
      <c r="C33" s="44">
        <v>477.25</v>
      </c>
      <c r="D33" s="37">
        <f t="shared" si="0"/>
        <v>-1.1955902903576256E-2</v>
      </c>
      <c r="E33" s="3"/>
    </row>
    <row r="34" spans="1:6" ht="16.5" customHeight="1" thickBot="1" x14ac:dyDescent="0.3">
      <c r="C34" s="4"/>
      <c r="D34" s="3"/>
      <c r="E34" s="5"/>
    </row>
    <row r="35" spans="1:6" ht="16.5" customHeight="1" thickBot="1" x14ac:dyDescent="0.3">
      <c r="B35" s="30" t="s">
        <v>16</v>
      </c>
      <c r="C35" s="31">
        <f>SUM(C14:C34)</f>
        <v>9660.4999999999982</v>
      </c>
      <c r="D35" s="26"/>
      <c r="E35" s="4"/>
    </row>
    <row r="36" spans="1:6" ht="17.25" customHeight="1" thickBot="1" x14ac:dyDescent="0.25">
      <c r="B36" s="30" t="s">
        <v>17</v>
      </c>
      <c r="C36" s="32">
        <f>AVERAGE(C14:C34)</f>
        <v>483.02499999999992</v>
      </c>
      <c r="E36" s="6"/>
    </row>
    <row r="37" spans="1:6" ht="17.25" customHeight="1" thickBot="1" x14ac:dyDescent="0.35">
      <c r="A37" s="10"/>
      <c r="B37" s="27"/>
      <c r="D37" s="8"/>
      <c r="E37" s="6"/>
    </row>
    <row r="38" spans="1:6" ht="33.75" customHeight="1" thickBot="1" x14ac:dyDescent="0.35">
      <c r="B38" s="40" t="s">
        <v>17</v>
      </c>
      <c r="C38" s="33" t="s">
        <v>18</v>
      </c>
      <c r="D38" s="28"/>
      <c r="F38" s="8"/>
    </row>
    <row r="39" spans="1:6" ht="17.25" customHeight="1" thickBot="1" x14ac:dyDescent="0.35">
      <c r="B39" s="227">
        <f>C36</f>
        <v>483.02499999999992</v>
      </c>
      <c r="C39" s="41">
        <f>-IF(C36&lt;=80,10%,IF(C36&lt;250,7.5%,5%))</f>
        <v>-0.05</v>
      </c>
      <c r="D39" s="29">
        <f>IF(C36&lt;=80,C36*0.9,IF(C36&lt;250,C36*0.925,C36*0.95))</f>
        <v>458.87374999999992</v>
      </c>
    </row>
    <row r="40" spans="1:6" ht="17.25" customHeight="1" thickBot="1" x14ac:dyDescent="0.35">
      <c r="B40" s="228"/>
      <c r="C40" s="42">
        <f>IF(C36&lt;=80, 10%, IF(C36&lt;250, 7.5%, 5%))</f>
        <v>0.05</v>
      </c>
      <c r="D40" s="29">
        <f>IF(C36&lt;=80, C36*1.1, IF(C36&lt;250, C36*1.075, C36*1.05))</f>
        <v>507.17624999999992</v>
      </c>
    </row>
    <row r="41" spans="1:6" ht="16.5" customHeight="1" thickBot="1" x14ac:dyDescent="0.3">
      <c r="A41" s="13"/>
      <c r="B41" s="14"/>
      <c r="C41" s="10"/>
      <c r="D41" s="15"/>
      <c r="E41" s="10"/>
    </row>
    <row r="42" spans="1:6" ht="16.5" customHeight="1" x14ac:dyDescent="0.3">
      <c r="A42" s="10"/>
      <c r="B42" s="17" t="s">
        <v>19</v>
      </c>
      <c r="C42" s="17"/>
      <c r="D42" s="18" t="s">
        <v>20</v>
      </c>
      <c r="E42" s="19"/>
    </row>
    <row r="43" spans="1:6" ht="34.5" customHeight="1" x14ac:dyDescent="0.3">
      <c r="A43" s="20" t="s">
        <v>22</v>
      </c>
      <c r="B43" s="21"/>
      <c r="C43" s="22"/>
      <c r="D43" s="21"/>
      <c r="E43" s="11"/>
    </row>
    <row r="44" spans="1:6" ht="34.5" customHeight="1" x14ac:dyDescent="0.3">
      <c r="A44" s="20" t="s">
        <v>23</v>
      </c>
      <c r="B44" s="23"/>
      <c r="C44" s="24"/>
      <c r="D44" s="23"/>
      <c r="E44" s="11"/>
    </row>
  </sheetData>
  <sheetProtection formatCells="0" formatColumns="0" formatRows="0" insertColumns="0" insertRows="0" insertHyperlinks="0" deleteColumns="0" deleteRows="0" sort="0" autoFilter="0" pivotTables="0"/>
  <mergeCells count="12">
    <mergeCell ref="B39:B40"/>
    <mergeCell ref="A2:E2"/>
    <mergeCell ref="A1:E1"/>
    <mergeCell ref="A12:B12"/>
    <mergeCell ref="D12:E12"/>
    <mergeCell ref="A4:B4"/>
    <mergeCell ref="A5:B5"/>
    <mergeCell ref="A6:B6"/>
    <mergeCell ref="A7:B7"/>
    <mergeCell ref="A8:B8"/>
    <mergeCell ref="A9:B9"/>
    <mergeCell ref="A11:B11"/>
  </mergeCells>
  <conditionalFormatting sqref="D14">
    <cfRule type="cellIs" dxfId="28" priority="1" operator="notBetween">
      <formula>IF(C36&lt;=80,-10.5%,IF(C36&lt;250,-7.5%,-5.5%))</formula>
      <formula>IF(C36&lt;=80,10.5%, IF(C36&lt;250,7.5%, C36*5.5%))</formula>
    </cfRule>
  </conditionalFormatting>
  <conditionalFormatting sqref="D15">
    <cfRule type="cellIs" dxfId="27" priority="2" operator="notBetween">
      <formula>IF(C36&lt;=80,-10.5%,IF(C36&lt;250,-7.5%,-5.5%))</formula>
      <formula>IF(C36&lt;=80,10.5%, IF(C36&lt;250,7.5%, C36*5.5%))</formula>
    </cfRule>
  </conditionalFormatting>
  <conditionalFormatting sqref="D16">
    <cfRule type="cellIs" dxfId="26" priority="3" operator="notBetween">
      <formula>IF(C36&lt;=80,-10.5%,IF(C36&lt;250,-7.5%,-5.5%))</formula>
      <formula>IF(C36&lt;=80,10.5%, IF(C36&lt;250,7.5%, C36*5.5%))</formula>
    </cfRule>
  </conditionalFormatting>
  <conditionalFormatting sqref="D17">
    <cfRule type="cellIs" dxfId="25" priority="4" operator="notBetween">
      <formula>IF(C36&lt;=80,-10.5%,IF(C36&lt;250,-7.5%,-5.5%))</formula>
      <formula>IF(C36&lt;=80,10.5%, IF(C36&lt;250,7.5%, C36*5.5%))</formula>
    </cfRule>
  </conditionalFormatting>
  <conditionalFormatting sqref="D18">
    <cfRule type="cellIs" dxfId="24" priority="5" operator="notBetween">
      <formula>IF(C36&lt;=80,-10.5%,IF(C36&lt;250,-7.5%,-5.5%))</formula>
      <formula>IF(C36&lt;=80,10.5%, IF(C36&lt;250,7.5%, C36*5.5%))</formula>
    </cfRule>
  </conditionalFormatting>
  <conditionalFormatting sqref="D19">
    <cfRule type="cellIs" dxfId="23" priority="6" operator="notBetween">
      <formula>IF(C36&lt;=80,-10.5%,IF(C36&lt;250,-7.5%,-5.5%))</formula>
      <formula>IF(C36&lt;=80,10.5%, IF(C36&lt;250,7.5%, C36*5.5%))</formula>
    </cfRule>
  </conditionalFormatting>
  <conditionalFormatting sqref="D20">
    <cfRule type="cellIs" dxfId="22" priority="7" operator="notBetween">
      <formula>IF(C36&lt;=80,-10.5%,IF(C36&lt;250,-7.5%,-5.5%))</formula>
      <formula>IF(C36&lt;=80,10.5%, IF(C36&lt;250,7.5%, C36*5.5%))</formula>
    </cfRule>
  </conditionalFormatting>
  <conditionalFormatting sqref="D21">
    <cfRule type="cellIs" dxfId="21" priority="8" operator="notBetween">
      <formula>IF(C36&lt;=80,-10.5%,IF(C36&lt;250,-7.5%,-5.5%))</formula>
      <formula>IF(C36&lt;=80,10.5%, IF(C36&lt;250,7.5%, C36*5.5%))</formula>
    </cfRule>
  </conditionalFormatting>
  <conditionalFormatting sqref="D22">
    <cfRule type="cellIs" dxfId="20" priority="9" operator="notBetween">
      <formula>IF(C36&lt;=80,-10.5%,IF(C36&lt;250,-7.5%,-5.5%))</formula>
      <formula>IF(C36&lt;=80,10.5%, IF(C36&lt;250,7.5%, C36*5.5%))</formula>
    </cfRule>
  </conditionalFormatting>
  <conditionalFormatting sqref="D23">
    <cfRule type="cellIs" dxfId="19" priority="10" operator="notBetween">
      <formula>IF(C36&lt;=80,-10.5%,IF(C36&lt;250,-7.5%,-5.5%))</formula>
      <formula>IF(C36&lt;=80,10.5%, IF(C36&lt;250,7.5%, C36*5.5%))</formula>
    </cfRule>
  </conditionalFormatting>
  <conditionalFormatting sqref="D24">
    <cfRule type="cellIs" dxfId="18" priority="11" operator="notBetween">
      <formula>IF(C36&lt;=80,-10.5%,IF(C36&lt;250,-7.5%,-5.5%))</formula>
      <formula>IF(C36&lt;=80,10.5%, IF(C36&lt;250,7.5%, C36*5.5%))</formula>
    </cfRule>
  </conditionalFormatting>
  <conditionalFormatting sqref="D25">
    <cfRule type="cellIs" dxfId="17" priority="12" operator="notBetween">
      <formula>IF(C36&lt;=80,-10.5%,IF(C36&lt;250,-7.5%,-5.5%))</formula>
      <formula>IF(C36&lt;=80,10.5%, IF(C36&lt;250,7.5%, C36*5.5%))</formula>
    </cfRule>
  </conditionalFormatting>
  <conditionalFormatting sqref="D26">
    <cfRule type="cellIs" dxfId="16" priority="13" operator="notBetween">
      <formula>IF(C36&lt;=80,-10.5%,IF(C36&lt;250,-7.5%,-5.5%))</formula>
      <formula>IF(C36&lt;=80,10.5%, IF(C36&lt;250,7.5%, C36*5.5%))</formula>
    </cfRule>
  </conditionalFormatting>
  <conditionalFormatting sqref="D27">
    <cfRule type="cellIs" dxfId="15" priority="14" operator="notBetween">
      <formula>IF(C36&lt;=80,-10.5%,IF(C36&lt;250,-7.5%,-5.5%))</formula>
      <formula>IF(C36&lt;=80,10.5%, IF(C36&lt;250,7.5%, C36*5.5%))</formula>
    </cfRule>
  </conditionalFormatting>
  <conditionalFormatting sqref="D28">
    <cfRule type="cellIs" dxfId="14" priority="15" operator="notBetween">
      <formula>IF(C36&lt;=80,-10.5%,IF(C36&lt;250,-7.5%,-5.5%))</formula>
      <formula>IF(C36&lt;=80,10.5%, IF(C36&lt;250,7.5%, C36*5.5%))</formula>
    </cfRule>
  </conditionalFormatting>
  <conditionalFormatting sqref="D29">
    <cfRule type="cellIs" dxfId="13" priority="16" operator="notBetween">
      <formula>IF(C36&lt;=80,-10.5%,IF(C36&lt;250,-7.5%,-5.5%))</formula>
      <formula>IF(C36&lt;=80,10.5%, IF(C36&lt;250,7.5%, C36*5.5%))</formula>
    </cfRule>
  </conditionalFormatting>
  <conditionalFormatting sqref="D30">
    <cfRule type="cellIs" dxfId="12" priority="17" operator="notBetween">
      <formula>IF(C36&lt;=80,-10.5%,IF(C36&lt;250,-7.5%,-5.5%))</formula>
      <formula>IF(C36&lt;=80,10.5%, IF(C36&lt;250,7.5%, C36*5.5%))</formula>
    </cfRule>
  </conditionalFormatting>
  <conditionalFormatting sqref="D31">
    <cfRule type="cellIs" dxfId="11" priority="18" operator="notBetween">
      <formula>IF(C36&lt;=80,-10.5%,IF(C36&lt;250,-7.5%,-5.5%))</formula>
      <formula>IF(C36&lt;=80,10.5%, IF(C36&lt;250,7.5%, C36*5.5%))</formula>
    </cfRule>
  </conditionalFormatting>
  <conditionalFormatting sqref="D32">
    <cfRule type="cellIs" dxfId="10" priority="19" operator="notBetween">
      <formula>IF(C36&lt;=80,-10.5%,IF(C36&lt;250,-7.5%,-5.5%))</formula>
      <formula>IF(C36&lt;=80,10.5%, IF(C36&lt;250,7.5%, C36*5.5%))</formula>
    </cfRule>
  </conditionalFormatting>
  <conditionalFormatting sqref="D33">
    <cfRule type="cellIs" dxfId="9" priority="20" operator="notBetween">
      <formula>IF(C36&lt;=80,-10.5%,IF(C36&lt;250,-7.5%,-5.5%))</formula>
      <formula>IF(C36&lt;=80,10.5%, IF(C36&lt;250,7.5%, C36*5.5%))</formula>
    </cfRule>
  </conditionalFormatting>
  <conditionalFormatting sqref="D34">
    <cfRule type="cellIs" dxfId="8" priority="21" operator="notBetween">
      <formula>IF(C36&lt;=80,-10.5%,IF(C36&lt;250,-7.5%,-5.5%))</formula>
      <formula>IF(C36&lt;=80,10.5%, IF(C36&lt;250,7.5%, C36*5.5%))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zoomScale="50" zoomScaleNormal="50" workbookViewId="0">
      <selection activeCell="D9" sqref="D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</cols>
  <sheetData>
    <row r="1" spans="1:9" ht="19.5" customHeight="1" x14ac:dyDescent="0.3">
      <c r="A1" s="46"/>
    </row>
    <row r="2" spans="1:9" ht="19.5" customHeight="1" x14ac:dyDescent="0.3">
      <c r="A2" s="266" t="s">
        <v>0</v>
      </c>
      <c r="B2" s="267"/>
      <c r="C2" s="267"/>
      <c r="D2" s="267"/>
      <c r="E2" s="267"/>
      <c r="F2" s="267"/>
      <c r="G2" s="267"/>
      <c r="H2" s="268"/>
    </row>
    <row r="3" spans="1:9" ht="20.25" customHeight="1" x14ac:dyDescent="0.25">
      <c r="A3" s="269" t="s">
        <v>24</v>
      </c>
      <c r="B3" s="269"/>
      <c r="C3" s="269"/>
      <c r="D3" s="269"/>
      <c r="E3" s="269"/>
      <c r="F3" s="269"/>
      <c r="G3" s="269"/>
      <c r="H3" s="269"/>
    </row>
    <row r="4" spans="1:9" ht="26.25" customHeight="1" x14ac:dyDescent="0.4">
      <c r="A4" s="48" t="s">
        <v>2</v>
      </c>
      <c r="B4" s="265" t="s">
        <v>3</v>
      </c>
      <c r="C4" s="265"/>
      <c r="D4" s="224"/>
      <c r="E4" s="49"/>
      <c r="F4" s="50"/>
      <c r="G4" s="50"/>
      <c r="H4" s="50"/>
    </row>
    <row r="5" spans="1:9" ht="26.25" customHeight="1" x14ac:dyDescent="0.4">
      <c r="A5" s="48" t="s">
        <v>4</v>
      </c>
      <c r="B5" s="51" t="s">
        <v>5</v>
      </c>
      <c r="C5" s="50">
        <v>1</v>
      </c>
      <c r="D5" s="50"/>
      <c r="E5" s="50"/>
      <c r="F5" s="50"/>
      <c r="G5" s="50"/>
      <c r="H5" s="50"/>
    </row>
    <row r="6" spans="1:9" ht="26.25" customHeight="1" x14ac:dyDescent="0.4">
      <c r="A6" s="48" t="s">
        <v>6</v>
      </c>
      <c r="B6" s="270" t="s">
        <v>7</v>
      </c>
      <c r="C6" s="270"/>
      <c r="D6" s="50"/>
      <c r="E6" s="50"/>
      <c r="F6" s="50"/>
      <c r="G6" s="50"/>
      <c r="H6" s="50"/>
    </row>
    <row r="7" spans="1:9" ht="26.25" customHeight="1" x14ac:dyDescent="0.4">
      <c r="A7" s="48" t="s">
        <v>8</v>
      </c>
      <c r="B7" s="270" t="s">
        <v>9</v>
      </c>
      <c r="C7" s="270"/>
      <c r="D7" s="270"/>
      <c r="E7" s="270"/>
      <c r="F7" s="270"/>
      <c r="G7" s="270"/>
      <c r="H7" s="270"/>
      <c r="I7" s="52"/>
    </row>
    <row r="8" spans="1:9" ht="26.25" customHeight="1" x14ac:dyDescent="0.4">
      <c r="A8" s="48" t="s">
        <v>10</v>
      </c>
      <c r="B8" s="53">
        <v>42089</v>
      </c>
      <c r="C8" s="50"/>
      <c r="D8" s="50"/>
      <c r="E8" s="50"/>
      <c r="F8" s="50"/>
      <c r="G8" s="50"/>
      <c r="H8" s="50"/>
    </row>
    <row r="9" spans="1:9" ht="26.25" customHeight="1" x14ac:dyDescent="0.4">
      <c r="A9" s="48" t="s">
        <v>11</v>
      </c>
      <c r="B9" s="53">
        <v>42103</v>
      </c>
      <c r="C9" s="50"/>
      <c r="D9" s="50"/>
      <c r="E9" s="50"/>
      <c r="F9" s="50"/>
      <c r="G9" s="50"/>
      <c r="H9" s="50"/>
    </row>
    <row r="10" spans="1:9" ht="18.75" x14ac:dyDescent="0.3">
      <c r="A10" s="48"/>
      <c r="B10" s="54"/>
    </row>
    <row r="11" spans="1:9" ht="18.75" x14ac:dyDescent="0.3">
      <c r="A11" s="55" t="s">
        <v>12</v>
      </c>
      <c r="B11" s="54"/>
    </row>
    <row r="12" spans="1:9" ht="26.25" customHeight="1" x14ac:dyDescent="0.4">
      <c r="A12" s="56" t="s">
        <v>25</v>
      </c>
      <c r="B12" s="265" t="s">
        <v>105</v>
      </c>
      <c r="C12" s="265"/>
    </row>
    <row r="13" spans="1:9" ht="26.25" customHeight="1" x14ac:dyDescent="0.4">
      <c r="A13" s="57" t="s">
        <v>26</v>
      </c>
      <c r="B13" s="263"/>
      <c r="C13" s="263"/>
    </row>
    <row r="14" spans="1:9" ht="27" customHeight="1" x14ac:dyDescent="0.4">
      <c r="A14" s="57" t="s">
        <v>27</v>
      </c>
      <c r="B14" s="58">
        <v>99.4</v>
      </c>
    </row>
    <row r="15" spans="1:9" s="15" customFormat="1" ht="27" customHeight="1" x14ac:dyDescent="0.4">
      <c r="A15" s="57" t="s">
        <v>28</v>
      </c>
      <c r="B15" s="59">
        <v>0</v>
      </c>
      <c r="C15" s="240" t="s">
        <v>29</v>
      </c>
      <c r="D15" s="241"/>
      <c r="E15" s="241"/>
      <c r="F15" s="241"/>
      <c r="G15" s="242"/>
      <c r="I15" s="60"/>
    </row>
    <row r="16" spans="1:9" s="15" customFormat="1" ht="19.5" customHeight="1" x14ac:dyDescent="0.3">
      <c r="A16" s="57" t="s">
        <v>30</v>
      </c>
      <c r="B16" s="61">
        <f>B14-B15</f>
        <v>99.4</v>
      </c>
      <c r="C16" s="62"/>
      <c r="D16" s="62"/>
      <c r="E16" s="62"/>
      <c r="F16" s="62"/>
      <c r="G16" s="63"/>
      <c r="I16" s="60"/>
    </row>
    <row r="17" spans="1:9" s="15" customFormat="1" ht="27" customHeight="1" x14ac:dyDescent="0.4">
      <c r="A17" s="57" t="s">
        <v>31</v>
      </c>
      <c r="B17" s="64">
        <v>1</v>
      </c>
      <c r="C17" s="243" t="s">
        <v>32</v>
      </c>
      <c r="D17" s="244"/>
      <c r="E17" s="244"/>
      <c r="F17" s="244"/>
      <c r="G17" s="244"/>
      <c r="H17" s="245"/>
      <c r="I17" s="60"/>
    </row>
    <row r="18" spans="1:9" s="15" customFormat="1" ht="27" customHeight="1" x14ac:dyDescent="0.4">
      <c r="A18" s="57" t="s">
        <v>33</v>
      </c>
      <c r="B18" s="64">
        <v>1</v>
      </c>
      <c r="C18" s="243" t="s">
        <v>34</v>
      </c>
      <c r="D18" s="244"/>
      <c r="E18" s="244"/>
      <c r="F18" s="244"/>
      <c r="G18" s="244"/>
      <c r="H18" s="245"/>
      <c r="I18" s="60"/>
    </row>
    <row r="19" spans="1:9" s="15" customFormat="1" ht="17.25" customHeight="1" x14ac:dyDescent="0.3">
      <c r="A19" s="57"/>
      <c r="B19" s="65"/>
      <c r="C19" s="66"/>
      <c r="D19" s="66"/>
      <c r="E19" s="66"/>
      <c r="F19" s="66"/>
      <c r="G19" s="66"/>
      <c r="H19" s="66"/>
      <c r="I19" s="60"/>
    </row>
    <row r="20" spans="1:9" s="15" customFormat="1" ht="18.75" x14ac:dyDescent="0.3">
      <c r="A20" s="57" t="s">
        <v>35</v>
      </c>
      <c r="B20" s="67">
        <f>B17/B18</f>
        <v>1</v>
      </c>
      <c r="C20" s="47" t="s">
        <v>36</v>
      </c>
      <c r="D20" s="47"/>
      <c r="E20" s="47"/>
      <c r="F20" s="47"/>
      <c r="G20" s="47"/>
      <c r="I20" s="60"/>
    </row>
    <row r="21" spans="1:9" s="15" customFormat="1" ht="19.5" customHeight="1" x14ac:dyDescent="0.3">
      <c r="A21" s="57"/>
      <c r="B21" s="61"/>
      <c r="G21" s="47"/>
      <c r="I21" s="60"/>
    </row>
    <row r="22" spans="1:9" s="15" customFormat="1" ht="27" customHeight="1" x14ac:dyDescent="0.4">
      <c r="A22" s="68" t="s">
        <v>37</v>
      </c>
      <c r="B22" s="69">
        <v>100</v>
      </c>
      <c r="C22" s="47"/>
      <c r="D22" s="246" t="s">
        <v>38</v>
      </c>
      <c r="E22" s="264"/>
      <c r="F22" s="246" t="s">
        <v>39</v>
      </c>
      <c r="G22" s="247"/>
    </row>
    <row r="23" spans="1:9" s="15" customFormat="1" ht="27" customHeight="1" x14ac:dyDescent="0.4">
      <c r="A23" s="70" t="s">
        <v>40</v>
      </c>
      <c r="B23" s="71">
        <v>1</v>
      </c>
      <c r="C23" s="72" t="s">
        <v>41</v>
      </c>
      <c r="D23" s="73" t="s">
        <v>42</v>
      </c>
      <c r="E23" s="74" t="s">
        <v>43</v>
      </c>
      <c r="F23" s="73" t="s">
        <v>42</v>
      </c>
      <c r="G23" s="75" t="s">
        <v>43</v>
      </c>
      <c r="I23" s="76" t="s">
        <v>44</v>
      </c>
    </row>
    <row r="24" spans="1:9" s="15" customFormat="1" ht="26.25" customHeight="1" x14ac:dyDescent="0.4">
      <c r="A24" s="70" t="s">
        <v>45</v>
      </c>
      <c r="B24" s="71">
        <v>1</v>
      </c>
      <c r="C24" s="77">
        <v>1</v>
      </c>
      <c r="D24" s="78">
        <v>7863237</v>
      </c>
      <c r="E24" s="79">
        <f>IF(ISBLANK(D24),"-",$D$34/$D$31*D24)</f>
        <v>6752625.8704596339</v>
      </c>
      <c r="F24" s="78">
        <v>8648445</v>
      </c>
      <c r="G24" s="80">
        <f>IF(ISBLANK(F24),"-",$D$34/$F$31*F24)</f>
        <v>6805356.9756434569</v>
      </c>
      <c r="I24" s="81"/>
    </row>
    <row r="25" spans="1:9" s="15" customFormat="1" ht="26.25" customHeight="1" x14ac:dyDescent="0.4">
      <c r="A25" s="70" t="s">
        <v>46</v>
      </c>
      <c r="B25" s="71">
        <v>1</v>
      </c>
      <c r="C25" s="82">
        <v>2</v>
      </c>
      <c r="D25" s="83">
        <v>7898987</v>
      </c>
      <c r="E25" s="84">
        <f>IF(ISBLANK(D25),"-",$D$34/$D$31*D25)</f>
        <v>6783326.506198952</v>
      </c>
      <c r="F25" s="83">
        <v>8659080</v>
      </c>
      <c r="G25" s="85">
        <f>IF(ISBLANK(F25),"-",$D$34/$F$31*F25)</f>
        <v>6813725.5287690153</v>
      </c>
      <c r="I25" s="248">
        <f>ABS((F29/D29*D28)-F28)/D28</f>
        <v>6.3375493924457378E-3</v>
      </c>
    </row>
    <row r="26" spans="1:9" ht="26.25" customHeight="1" x14ac:dyDescent="0.4">
      <c r="A26" s="70" t="s">
        <v>47</v>
      </c>
      <c r="B26" s="71">
        <v>1</v>
      </c>
      <c r="C26" s="82">
        <v>3</v>
      </c>
      <c r="D26" s="83">
        <v>7888094</v>
      </c>
      <c r="E26" s="84">
        <f>IF(ISBLANK(D26),"-",$D$34/$D$31*D26)</f>
        <v>6773972.0439581582</v>
      </c>
      <c r="F26" s="83">
        <v>8652801</v>
      </c>
      <c r="G26" s="85">
        <f>IF(ISBLANK(F26),"-",$D$34/$F$31*F26)</f>
        <v>6808784.6594624445</v>
      </c>
      <c r="I26" s="248"/>
    </row>
    <row r="27" spans="1:9" ht="27" customHeight="1" x14ac:dyDescent="0.4">
      <c r="A27" s="70" t="s">
        <v>48</v>
      </c>
      <c r="B27" s="71">
        <v>1</v>
      </c>
      <c r="C27" s="87">
        <v>4</v>
      </c>
      <c r="D27" s="88"/>
      <c r="E27" s="89" t="str">
        <f>IF(ISBLANK(D27),"-",$D$34/$D$31*D27)</f>
        <v>-</v>
      </c>
      <c r="F27" s="88"/>
      <c r="G27" s="90" t="str">
        <f>IF(ISBLANK(F27),"-",$D$34/$F$31*F27)</f>
        <v>-</v>
      </c>
      <c r="I27" s="91"/>
    </row>
    <row r="28" spans="1:9" ht="27" customHeight="1" x14ac:dyDescent="0.4">
      <c r="A28" s="70" t="s">
        <v>49</v>
      </c>
      <c r="B28" s="71">
        <v>1</v>
      </c>
      <c r="C28" s="92" t="s">
        <v>50</v>
      </c>
      <c r="D28" s="93">
        <f>AVERAGE(D24:D27)</f>
        <v>7883439.333333333</v>
      </c>
      <c r="E28" s="94">
        <f>AVERAGE(E24:E27)</f>
        <v>6769974.8068722477</v>
      </c>
      <c r="F28" s="93">
        <f>AVERAGE(F24:F27)</f>
        <v>8653442</v>
      </c>
      <c r="G28" s="95">
        <f>AVERAGE(G24:G27)</f>
        <v>6809289.0546249719</v>
      </c>
      <c r="H28" s="96"/>
    </row>
    <row r="29" spans="1:9" ht="26.25" customHeight="1" x14ac:dyDescent="0.4">
      <c r="A29" s="70" t="s">
        <v>51</v>
      </c>
      <c r="B29" s="71">
        <v>1</v>
      </c>
      <c r="C29" s="97" t="s">
        <v>52</v>
      </c>
      <c r="D29" s="98">
        <v>23.43</v>
      </c>
      <c r="E29" s="86"/>
      <c r="F29" s="98">
        <v>25.57</v>
      </c>
      <c r="H29" s="96"/>
    </row>
    <row r="30" spans="1:9" ht="26.25" customHeight="1" x14ac:dyDescent="0.4">
      <c r="A30" s="70" t="s">
        <v>53</v>
      </c>
      <c r="B30" s="71">
        <v>1</v>
      </c>
      <c r="C30" s="99" t="s">
        <v>54</v>
      </c>
      <c r="D30" s="100">
        <f>D29*$B$20</f>
        <v>23.43</v>
      </c>
      <c r="E30" s="101"/>
      <c r="F30" s="100">
        <f>F29*$B$20</f>
        <v>25.57</v>
      </c>
      <c r="H30" s="96"/>
    </row>
    <row r="31" spans="1:9" ht="19.5" customHeight="1" x14ac:dyDescent="0.3">
      <c r="A31" s="70" t="s">
        <v>55</v>
      </c>
      <c r="B31" s="102">
        <f>(B30/B29)*(B28/B27)*(B26/B25)*(B24/B23)*B22</f>
        <v>100</v>
      </c>
      <c r="C31" s="99" t="s">
        <v>56</v>
      </c>
      <c r="D31" s="103">
        <f>D30*$B$16/100</f>
        <v>23.28942</v>
      </c>
      <c r="E31" s="104"/>
      <c r="F31" s="103">
        <f>F30*$B$16/100</f>
        <v>25.416580000000003</v>
      </c>
      <c r="H31" s="96"/>
    </row>
    <row r="32" spans="1:9" ht="19.5" customHeight="1" x14ac:dyDescent="0.3">
      <c r="A32" s="234" t="s">
        <v>57</v>
      </c>
      <c r="B32" s="235"/>
      <c r="C32" s="99" t="s">
        <v>58</v>
      </c>
      <c r="D32" s="105">
        <f>D31/$B$31</f>
        <v>0.2328942</v>
      </c>
      <c r="E32" s="106"/>
      <c r="F32" s="107">
        <f>F31/$B$31</f>
        <v>0.25416580000000005</v>
      </c>
      <c r="H32" s="96"/>
    </row>
    <row r="33" spans="1:8" customFormat="1" ht="27" customHeight="1" x14ac:dyDescent="0.4">
      <c r="A33" s="236"/>
      <c r="B33" s="237"/>
      <c r="C33" s="108" t="s">
        <v>59</v>
      </c>
      <c r="D33" s="109">
        <v>0.2</v>
      </c>
      <c r="E33" s="110"/>
      <c r="F33" s="106"/>
      <c r="G33" s="2"/>
      <c r="H33" s="96"/>
    </row>
    <row r="34" spans="1:8" customFormat="1" ht="18.75" x14ac:dyDescent="0.3">
      <c r="A34" s="2"/>
      <c r="B34" s="2"/>
      <c r="C34" s="111" t="s">
        <v>60</v>
      </c>
      <c r="D34" s="103">
        <f>D33*$B$31</f>
        <v>20</v>
      </c>
      <c r="E34" s="2"/>
      <c r="F34" s="112"/>
      <c r="G34" s="2"/>
      <c r="H34" s="96"/>
    </row>
    <row r="35" spans="1:8" customFormat="1" ht="19.5" customHeight="1" x14ac:dyDescent="0.3">
      <c r="A35" s="2"/>
      <c r="B35" s="2"/>
      <c r="C35" s="113" t="s">
        <v>61</v>
      </c>
      <c r="D35" s="114">
        <f>D34/B20</f>
        <v>20</v>
      </c>
      <c r="E35" s="2"/>
      <c r="F35" s="112"/>
      <c r="G35" s="2"/>
      <c r="H35" s="96"/>
    </row>
    <row r="36" spans="1:8" customFormat="1" ht="18.75" x14ac:dyDescent="0.3">
      <c r="A36" s="2"/>
      <c r="B36" s="2"/>
      <c r="C36" s="68" t="s">
        <v>62</v>
      </c>
      <c r="D36" s="115">
        <f>AVERAGE(E24:E27,G24:G27)</f>
        <v>6789631.9307486089</v>
      </c>
      <c r="E36" s="2"/>
      <c r="F36" s="116"/>
      <c r="G36" s="2"/>
      <c r="H36" s="96"/>
    </row>
    <row r="37" spans="1:8" customFormat="1" ht="18.75" x14ac:dyDescent="0.3">
      <c r="A37" s="2"/>
      <c r="B37" s="2"/>
      <c r="C37" s="70" t="s">
        <v>63</v>
      </c>
      <c r="D37" s="117">
        <f>STDEV(E24:E27,G24:G27)/D36</f>
        <v>3.5157531845042235E-3</v>
      </c>
      <c r="E37" s="2"/>
      <c r="F37" s="116"/>
      <c r="G37" s="2"/>
      <c r="H37" s="96"/>
    </row>
    <row r="38" spans="1:8" customFormat="1" ht="19.5" customHeight="1" x14ac:dyDescent="0.3">
      <c r="A38" s="2"/>
      <c r="B38" s="2"/>
      <c r="C38" s="118" t="s">
        <v>64</v>
      </c>
      <c r="D38" s="119">
        <f>COUNT(E24:E27,G24:G27)</f>
        <v>6</v>
      </c>
      <c r="E38" s="2"/>
      <c r="F38" s="116"/>
      <c r="G38" s="2"/>
      <c r="H38" s="2"/>
    </row>
    <row r="40" spans="1:8" customFormat="1" ht="18.75" x14ac:dyDescent="0.3">
      <c r="A40" s="120" t="s">
        <v>12</v>
      </c>
      <c r="B40" s="121" t="s">
        <v>65</v>
      </c>
      <c r="C40" s="2"/>
      <c r="D40" s="2"/>
      <c r="E40" s="2"/>
      <c r="F40" s="2"/>
      <c r="G40" s="2"/>
      <c r="H40" s="2"/>
    </row>
    <row r="41" spans="1:8" customFormat="1" ht="18.75" x14ac:dyDescent="0.3">
      <c r="A41" s="47" t="s">
        <v>66</v>
      </c>
      <c r="B41" s="122" t="str">
        <f>B7</f>
        <v>Fluconazole Ph. Eur. 200mg</v>
      </c>
      <c r="C41" s="2"/>
      <c r="D41" s="2"/>
      <c r="E41" s="2"/>
      <c r="F41" s="2"/>
      <c r="G41" s="2"/>
      <c r="H41" s="2"/>
    </row>
    <row r="42" spans="1:8" customFormat="1" ht="26.25" customHeight="1" x14ac:dyDescent="0.4">
      <c r="A42" s="123" t="s">
        <v>67</v>
      </c>
      <c r="B42" s="124">
        <v>200</v>
      </c>
      <c r="C42" s="47" t="str">
        <f>B6</f>
        <v>Fluconazole Ph. Eur.</v>
      </c>
      <c r="D42" s="2"/>
      <c r="E42" s="2"/>
      <c r="F42" s="2"/>
      <c r="G42" s="2"/>
      <c r="H42" s="125"/>
    </row>
    <row r="43" spans="1:8" customFormat="1" ht="18.75" x14ac:dyDescent="0.3">
      <c r="A43" s="122" t="s">
        <v>68</v>
      </c>
      <c r="B43" s="126">
        <f>Uniformity!C36</f>
        <v>483.02499999999992</v>
      </c>
      <c r="C43" s="2"/>
      <c r="D43" s="2"/>
      <c r="E43" s="2"/>
      <c r="F43" s="2"/>
      <c r="G43" s="2"/>
      <c r="H43" s="125"/>
    </row>
    <row r="44" spans="1:8" customFormat="1" ht="19.5" customHeight="1" x14ac:dyDescent="0.3">
      <c r="A44" s="2"/>
      <c r="B44" s="2"/>
      <c r="C44" s="2"/>
      <c r="D44" s="2"/>
      <c r="E44" s="2"/>
      <c r="F44" s="2"/>
      <c r="G44" s="2"/>
      <c r="H44" s="125"/>
    </row>
    <row r="45" spans="1:8" s="15" customFormat="1" ht="27" customHeight="1" x14ac:dyDescent="0.4">
      <c r="A45" s="68" t="s">
        <v>69</v>
      </c>
      <c r="B45" s="69">
        <v>50</v>
      </c>
      <c r="C45" s="47"/>
      <c r="D45" s="127" t="s">
        <v>70</v>
      </c>
      <c r="E45" s="128" t="s">
        <v>41</v>
      </c>
      <c r="F45" s="128" t="s">
        <v>42</v>
      </c>
      <c r="G45" s="128" t="s">
        <v>71</v>
      </c>
      <c r="H45" s="72" t="s">
        <v>72</v>
      </c>
    </row>
    <row r="46" spans="1:8" s="15" customFormat="1" ht="26.25" customHeight="1" x14ac:dyDescent="0.4">
      <c r="A46" s="70" t="s">
        <v>73</v>
      </c>
      <c r="B46" s="71">
        <v>5</v>
      </c>
      <c r="C46" s="251" t="s">
        <v>74</v>
      </c>
      <c r="D46" s="254">
        <v>173.69</v>
      </c>
      <c r="E46" s="129">
        <v>1</v>
      </c>
      <c r="F46" s="130">
        <v>4729549</v>
      </c>
      <c r="G46" s="131">
        <f>IF(ISBLANK(F46),"-",(F46/$D$36*$D$33*$B$54)*($B$43/$D$46))</f>
        <v>193.71724844041677</v>
      </c>
      <c r="H46" s="132">
        <f>IF(ISBLANK(F46),"-",G46/$B$42)</f>
        <v>0.96858624220208389</v>
      </c>
    </row>
    <row r="47" spans="1:8" s="15" customFormat="1" ht="26.25" customHeight="1" x14ac:dyDescent="0.4">
      <c r="A47" s="70" t="s">
        <v>75</v>
      </c>
      <c r="B47" s="71">
        <v>50</v>
      </c>
      <c r="C47" s="252"/>
      <c r="D47" s="255"/>
      <c r="E47" s="133">
        <v>2</v>
      </c>
      <c r="F47" s="83">
        <v>4739346</v>
      </c>
      <c r="G47" s="134">
        <f>IF(ISBLANK(F47),"-",(F47/$D$36*$D$33*$B$54)*($B$43/$D$46))</f>
        <v>194.11852304037777</v>
      </c>
      <c r="H47" s="135">
        <f>IF(ISBLANK(F47),"-",G47/$B$42)</f>
        <v>0.97059261520188889</v>
      </c>
    </row>
    <row r="48" spans="1:8" s="15" customFormat="1" ht="26.25" customHeight="1" x14ac:dyDescent="0.4">
      <c r="A48" s="70" t="s">
        <v>76</v>
      </c>
      <c r="B48" s="71">
        <v>1</v>
      </c>
      <c r="C48" s="252"/>
      <c r="D48" s="255"/>
      <c r="E48" s="133">
        <v>3</v>
      </c>
      <c r="F48" s="136">
        <v>4739382</v>
      </c>
      <c r="G48" s="134">
        <f>IF(ISBLANK(F48),"-",(F48/$D$36*$D$33*$B$54)*($B$43/$D$46))</f>
        <v>194.11999756172085</v>
      </c>
      <c r="H48" s="135">
        <f t="shared" ref="H48:H57" si="0">IF(ISBLANK(F48),"-",G48/$B$42)</f>
        <v>0.97059998780860424</v>
      </c>
    </row>
    <row r="49" spans="1:8" customFormat="1" ht="27" customHeight="1" x14ac:dyDescent="0.4">
      <c r="A49" s="70" t="s">
        <v>77</v>
      </c>
      <c r="B49" s="71">
        <v>1</v>
      </c>
      <c r="C49" s="262"/>
      <c r="D49" s="256"/>
      <c r="E49" s="137">
        <v>4</v>
      </c>
      <c r="F49" s="138"/>
      <c r="G49" s="134" t="str">
        <f>IF(ISBLANK(F49),"-",(F49/$D$36*$D$33*$B$54)*($B$43/$D$46))</f>
        <v>-</v>
      </c>
      <c r="H49" s="135" t="str">
        <f t="shared" si="0"/>
        <v>-</v>
      </c>
    </row>
    <row r="50" spans="1:8" customFormat="1" ht="26.25" customHeight="1" x14ac:dyDescent="0.4">
      <c r="A50" s="70" t="s">
        <v>78</v>
      </c>
      <c r="B50" s="71">
        <v>1</v>
      </c>
      <c r="C50" s="251" t="s">
        <v>79</v>
      </c>
      <c r="D50" s="254">
        <v>173.72</v>
      </c>
      <c r="E50" s="129">
        <v>1</v>
      </c>
      <c r="F50" s="130">
        <v>4697849</v>
      </c>
      <c r="G50" s="139">
        <f>IF(ISBLANK(F50),"-",(F50/$D$36*$D$33*$B$54)*($B$43/$D$50))</f>
        <v>192.38562134389412</v>
      </c>
      <c r="H50" s="140">
        <f>IF(ISBLANK(F50),"-",G50/$B$42)</f>
        <v>0.9619281067194706</v>
      </c>
    </row>
    <row r="51" spans="1:8" customFormat="1" ht="26.25" customHeight="1" x14ac:dyDescent="0.4">
      <c r="A51" s="70" t="s">
        <v>80</v>
      </c>
      <c r="B51" s="71">
        <v>1</v>
      </c>
      <c r="C51" s="252"/>
      <c r="D51" s="255"/>
      <c r="E51" s="133">
        <v>2</v>
      </c>
      <c r="F51" s="83">
        <v>4703620</v>
      </c>
      <c r="G51" s="141">
        <f>IF(ISBLANK(F51),"-",(F51/$D$36*$D$33*$B$54)*($B$43/$D$50))</f>
        <v>192.62195448716363</v>
      </c>
      <c r="H51" s="142">
        <f>IF(ISBLANK(F51),"-",G51/$B$42)</f>
        <v>0.96310977243581819</v>
      </c>
    </row>
    <row r="52" spans="1:8" customFormat="1" ht="26.25" customHeight="1" x14ac:dyDescent="0.4">
      <c r="A52" s="70" t="s">
        <v>81</v>
      </c>
      <c r="B52" s="71">
        <v>1</v>
      </c>
      <c r="C52" s="252"/>
      <c r="D52" s="255"/>
      <c r="E52" s="133">
        <v>3</v>
      </c>
      <c r="F52" s="83">
        <v>4700507</v>
      </c>
      <c r="G52" s="141">
        <f>IF(ISBLANK(F52),"-",(F52/$D$36*$D$33*$B$54)*($B$43/$D$50))</f>
        <v>192.49447136898684</v>
      </c>
      <c r="H52" s="142">
        <f t="shared" si="0"/>
        <v>0.96247235684493415</v>
      </c>
    </row>
    <row r="53" spans="1:8" customFormat="1" ht="27" customHeight="1" x14ac:dyDescent="0.4">
      <c r="A53" s="70" t="s">
        <v>82</v>
      </c>
      <c r="B53" s="71">
        <v>1</v>
      </c>
      <c r="C53" s="262"/>
      <c r="D53" s="256"/>
      <c r="E53" s="137">
        <v>4</v>
      </c>
      <c r="F53" s="138"/>
      <c r="G53" s="143" t="str">
        <f>IF(ISBLANK(F53),"-",(F53/$D$36*$D$33*$B$54)*($B$43/$D$50))</f>
        <v>-</v>
      </c>
      <c r="H53" s="144" t="str">
        <f t="shared" si="0"/>
        <v>-</v>
      </c>
    </row>
    <row r="54" spans="1:8" customFormat="1" ht="26.25" customHeight="1" x14ac:dyDescent="0.4">
      <c r="A54" s="70" t="s">
        <v>83</v>
      </c>
      <c r="B54" s="145">
        <f>(B53/B52)*(B51/B50)*(B49/B48)*(B47/B46)*B45</f>
        <v>500</v>
      </c>
      <c r="C54" s="251" t="s">
        <v>84</v>
      </c>
      <c r="D54" s="254">
        <v>179.44</v>
      </c>
      <c r="E54" s="129">
        <v>1</v>
      </c>
      <c r="F54" s="130">
        <v>4906789</v>
      </c>
      <c r="G54" s="139">
        <f>IF(ISBLANK(F54),"-",(F54/$D$36*$D$33*$B$54)*($B$43/$D$54))</f>
        <v>194.53668007017822</v>
      </c>
      <c r="H54" s="135">
        <f>IF(ISBLANK(F54),"-",G54/$B$42)</f>
        <v>0.97268340035089107</v>
      </c>
    </row>
    <row r="55" spans="1:8" customFormat="1" ht="27" customHeight="1" x14ac:dyDescent="0.4">
      <c r="A55" s="118" t="s">
        <v>85</v>
      </c>
      <c r="B55" s="146">
        <f>(D33*B54)/B42*B43</f>
        <v>241.51249999999996</v>
      </c>
      <c r="C55" s="252"/>
      <c r="D55" s="255"/>
      <c r="E55" s="133">
        <v>2</v>
      </c>
      <c r="F55" s="83">
        <v>4913389</v>
      </c>
      <c r="G55" s="141">
        <f>IF(ISBLANK(F55),"-",(F55/$D$36*$D$33*$B$54)*($B$43/$D$54))</f>
        <v>194.79834652627875</v>
      </c>
      <c r="H55" s="135">
        <f>IF(ISBLANK(F55),"-",G55/$B$42)</f>
        <v>0.97399173263139371</v>
      </c>
    </row>
    <row r="56" spans="1:8" customFormat="1" ht="26.25" customHeight="1" x14ac:dyDescent="0.4">
      <c r="A56" s="257" t="s">
        <v>57</v>
      </c>
      <c r="B56" s="258"/>
      <c r="C56" s="252"/>
      <c r="D56" s="255"/>
      <c r="E56" s="133">
        <v>3</v>
      </c>
      <c r="F56" s="83">
        <v>4908249</v>
      </c>
      <c r="G56" s="141">
        <f>IF(ISBLANK(F56),"-",(F56/$D$36*$D$33*$B$54)*($B$43/$D$54))</f>
        <v>194.59456386198224</v>
      </c>
      <c r="H56" s="135">
        <f>IF(ISBLANK(F56),"-",G56/$B$42)</f>
        <v>0.9729728193099112</v>
      </c>
    </row>
    <row r="57" spans="1:8" customFormat="1" ht="27" customHeight="1" x14ac:dyDescent="0.4">
      <c r="A57" s="259"/>
      <c r="B57" s="260"/>
      <c r="C57" s="253"/>
      <c r="D57" s="256"/>
      <c r="E57" s="137">
        <v>4</v>
      </c>
      <c r="F57" s="138"/>
      <c r="G57" s="143" t="str">
        <f>IF(ISBLANK(F57),"-",(F57/$D$36*$D$33*$B$54)*($B$43/$D$54))</f>
        <v>-</v>
      </c>
      <c r="H57" s="147" t="str">
        <f t="shared" si="0"/>
        <v>-</v>
      </c>
    </row>
    <row r="58" spans="1:8" customFormat="1" ht="26.25" customHeight="1" x14ac:dyDescent="0.4">
      <c r="A58" s="148"/>
      <c r="B58" s="148"/>
      <c r="C58" s="148"/>
      <c r="D58" s="148"/>
      <c r="E58" s="148"/>
      <c r="F58" s="149"/>
      <c r="G58" s="150" t="s">
        <v>50</v>
      </c>
      <c r="H58" s="151">
        <f>AVERAGE(H46:H57)</f>
        <v>0.96854855927833283</v>
      </c>
    </row>
    <row r="59" spans="1:8" customFormat="1" ht="26.25" customHeight="1" x14ac:dyDescent="0.4">
      <c r="A59" s="2"/>
      <c r="B59" s="2"/>
      <c r="C59" s="148"/>
      <c r="D59" s="148"/>
      <c r="E59" s="148"/>
      <c r="F59" s="149"/>
      <c r="G59" s="152" t="s">
        <v>63</v>
      </c>
      <c r="H59" s="153">
        <f>STDEV(H46:H57)/H58</f>
        <v>4.9652453432147857E-3</v>
      </c>
    </row>
    <row r="60" spans="1:8" customFormat="1" ht="27" customHeight="1" x14ac:dyDescent="0.4">
      <c r="A60" s="148"/>
      <c r="B60" s="148"/>
      <c r="C60" s="149"/>
      <c r="D60" s="149"/>
      <c r="E60" s="154"/>
      <c r="F60" s="149"/>
      <c r="G60" s="155" t="s">
        <v>64</v>
      </c>
      <c r="H60" s="156">
        <f>COUNT(H46:H57)</f>
        <v>9</v>
      </c>
    </row>
    <row r="62" spans="1:8" customFormat="1" ht="26.25" customHeight="1" x14ac:dyDescent="0.4">
      <c r="A62" s="56" t="s">
        <v>86</v>
      </c>
      <c r="B62" s="157" t="s">
        <v>87</v>
      </c>
      <c r="C62" s="238" t="str">
        <f>B6</f>
        <v>Fluconazole Ph. Eur.</v>
      </c>
      <c r="D62" s="238"/>
      <c r="E62" s="158" t="s">
        <v>88</v>
      </c>
      <c r="F62" s="158"/>
      <c r="G62" s="159">
        <f>H58</f>
        <v>0.96854855927833283</v>
      </c>
      <c r="H62" s="160"/>
    </row>
    <row r="63" spans="1:8" customFormat="1" ht="18.75" x14ac:dyDescent="0.3">
      <c r="A63" s="55" t="s">
        <v>89</v>
      </c>
      <c r="B63" s="55" t="s">
        <v>90</v>
      </c>
      <c r="C63" s="2"/>
      <c r="D63" s="2"/>
      <c r="E63" s="2"/>
      <c r="F63" s="2"/>
      <c r="G63" s="2"/>
      <c r="H63" s="2"/>
    </row>
    <row r="64" spans="1:8" customFormat="1" ht="18.75" x14ac:dyDescent="0.3">
      <c r="A64" s="55"/>
      <c r="B64" s="55"/>
      <c r="C64" s="2"/>
      <c r="D64" s="2"/>
      <c r="E64" s="2"/>
      <c r="F64" s="2"/>
      <c r="G64" s="2"/>
      <c r="H64" s="2"/>
    </row>
    <row r="65" spans="1:9" ht="26.25" customHeight="1" x14ac:dyDescent="0.4">
      <c r="A65" s="56" t="s">
        <v>25</v>
      </c>
      <c r="B65" s="261" t="str">
        <f>B12</f>
        <v>Fluconazole</v>
      </c>
      <c r="C65" s="261"/>
    </row>
    <row r="66" spans="1:9" ht="26.25" customHeight="1" x14ac:dyDescent="0.4">
      <c r="A66" s="57" t="s">
        <v>26</v>
      </c>
      <c r="B66" s="261"/>
      <c r="C66" s="261"/>
    </row>
    <row r="67" spans="1:9" ht="27" customHeight="1" x14ac:dyDescent="0.4">
      <c r="A67" s="57" t="s">
        <v>27</v>
      </c>
      <c r="B67" s="161">
        <f>B14</f>
        <v>99.4</v>
      </c>
    </row>
    <row r="68" spans="1:9" s="15" customFormat="1" ht="27" customHeight="1" x14ac:dyDescent="0.4">
      <c r="A68" s="57" t="s">
        <v>28</v>
      </c>
      <c r="B68" s="59">
        <v>0</v>
      </c>
      <c r="C68" s="240" t="s">
        <v>29</v>
      </c>
      <c r="D68" s="241"/>
      <c r="E68" s="241"/>
      <c r="F68" s="241"/>
      <c r="G68" s="242"/>
      <c r="I68" s="60"/>
    </row>
    <row r="69" spans="1:9" s="15" customFormat="1" ht="19.5" customHeight="1" x14ac:dyDescent="0.3">
      <c r="A69" s="57" t="s">
        <v>30</v>
      </c>
      <c r="B69" s="61">
        <f>B67-B68</f>
        <v>99.4</v>
      </c>
      <c r="C69" s="62"/>
      <c r="D69" s="62"/>
      <c r="E69" s="62"/>
      <c r="F69" s="62"/>
      <c r="G69" s="63"/>
      <c r="I69" s="60"/>
    </row>
    <row r="70" spans="1:9" s="15" customFormat="1" ht="27" customHeight="1" x14ac:dyDescent="0.4">
      <c r="A70" s="57" t="s">
        <v>31</v>
      </c>
      <c r="B70" s="64">
        <v>1</v>
      </c>
      <c r="C70" s="243" t="s">
        <v>91</v>
      </c>
      <c r="D70" s="244"/>
      <c r="E70" s="244"/>
      <c r="F70" s="244"/>
      <c r="G70" s="244"/>
      <c r="H70" s="245"/>
      <c r="I70" s="60"/>
    </row>
    <row r="71" spans="1:9" s="15" customFormat="1" ht="27" customHeight="1" x14ac:dyDescent="0.4">
      <c r="A71" s="57" t="s">
        <v>33</v>
      </c>
      <c r="B71" s="64">
        <v>1</v>
      </c>
      <c r="C71" s="243" t="s">
        <v>92</v>
      </c>
      <c r="D71" s="244"/>
      <c r="E71" s="244"/>
      <c r="F71" s="244"/>
      <c r="G71" s="244"/>
      <c r="H71" s="245"/>
      <c r="I71" s="60"/>
    </row>
    <row r="72" spans="1:9" s="15" customFormat="1" ht="18.75" x14ac:dyDescent="0.3">
      <c r="A72" s="57"/>
      <c r="B72" s="65"/>
      <c r="C72" s="66"/>
      <c r="D72" s="66"/>
      <c r="E72" s="66"/>
      <c r="F72" s="66"/>
      <c r="G72" s="66"/>
      <c r="H72" s="66"/>
      <c r="I72" s="60"/>
    </row>
    <row r="73" spans="1:9" s="15" customFormat="1" ht="18.75" x14ac:dyDescent="0.3">
      <c r="A73" s="57" t="s">
        <v>35</v>
      </c>
      <c r="B73" s="67">
        <f>B70/B71</f>
        <v>1</v>
      </c>
      <c r="C73" s="47" t="s">
        <v>36</v>
      </c>
      <c r="D73" s="47"/>
      <c r="E73" s="47"/>
      <c r="F73" s="47"/>
      <c r="G73" s="47"/>
      <c r="I73" s="60"/>
    </row>
    <row r="74" spans="1:9" ht="19.5" customHeight="1" x14ac:dyDescent="0.3">
      <c r="A74" s="55"/>
      <c r="B74" s="55"/>
    </row>
    <row r="75" spans="1:9" ht="27" customHeight="1" x14ac:dyDescent="0.4">
      <c r="A75" s="68" t="s">
        <v>37</v>
      </c>
      <c r="B75" s="69">
        <v>100</v>
      </c>
      <c r="D75" s="162" t="s">
        <v>38</v>
      </c>
      <c r="E75" s="163"/>
      <c r="F75" s="246" t="s">
        <v>39</v>
      </c>
      <c r="G75" s="247"/>
    </row>
    <row r="76" spans="1:9" ht="27" customHeight="1" x14ac:dyDescent="0.4">
      <c r="A76" s="70" t="s">
        <v>40</v>
      </c>
      <c r="B76" s="71">
        <v>1</v>
      </c>
      <c r="C76" s="164" t="s">
        <v>41</v>
      </c>
      <c r="D76" s="73" t="s">
        <v>42</v>
      </c>
      <c r="E76" s="74" t="s">
        <v>43</v>
      </c>
      <c r="F76" s="73" t="s">
        <v>42</v>
      </c>
      <c r="G76" s="165" t="s">
        <v>43</v>
      </c>
      <c r="I76" s="76" t="s">
        <v>44</v>
      </c>
    </row>
    <row r="77" spans="1:9" ht="26.25" customHeight="1" x14ac:dyDescent="0.4">
      <c r="A77" s="70" t="s">
        <v>45</v>
      </c>
      <c r="B77" s="71">
        <v>1</v>
      </c>
      <c r="C77" s="166">
        <v>1</v>
      </c>
      <c r="D77" s="78">
        <v>7614427</v>
      </c>
      <c r="E77" s="79">
        <f>IF(ISBLANK(D77),"-",$D$87/$D$84*D77)</f>
        <v>8207853.1404865487</v>
      </c>
      <c r="F77" s="78">
        <v>7829709</v>
      </c>
      <c r="G77" s="80">
        <f>IF(ISBLANK(F77),"-",$D$87/$F$84*F77)</f>
        <v>8295914.5075826189</v>
      </c>
      <c r="I77" s="81"/>
    </row>
    <row r="78" spans="1:9" ht="26.25" customHeight="1" x14ac:dyDescent="0.4">
      <c r="A78" s="70" t="s">
        <v>46</v>
      </c>
      <c r="B78" s="71">
        <v>1</v>
      </c>
      <c r="C78" s="149">
        <v>2</v>
      </c>
      <c r="D78" s="83">
        <v>7646364</v>
      </c>
      <c r="E78" s="84">
        <f>IF(ISBLANK(D78),"-",$D$87/$D$84*D78)</f>
        <v>8242279.132849168</v>
      </c>
      <c r="F78" s="83">
        <v>7809955</v>
      </c>
      <c r="G78" s="85">
        <f>IF(ISBLANK(F78),"-",$D$87/$F$84*F78)</f>
        <v>8274984.2922728565</v>
      </c>
      <c r="I78" s="248">
        <f>ABS((F82/D82*D81)-F81)/D81</f>
        <v>6.0403063071995302E-3</v>
      </c>
    </row>
    <row r="79" spans="1:9" ht="26.25" customHeight="1" x14ac:dyDescent="0.4">
      <c r="A79" s="70" t="s">
        <v>47</v>
      </c>
      <c r="B79" s="71">
        <v>1</v>
      </c>
      <c r="C79" s="149">
        <v>3</v>
      </c>
      <c r="D79" s="83">
        <v>7666571</v>
      </c>
      <c r="E79" s="84">
        <f>IF(ISBLANK(D79),"-",$D$87/$D$84*D79)</f>
        <v>8264060.954174635</v>
      </c>
      <c r="F79" s="83">
        <v>7824154</v>
      </c>
      <c r="G79" s="85">
        <f>IF(ISBLANK(F79),"-",$D$87/$F$84*F79)</f>
        <v>8290028.7454055548</v>
      </c>
      <c r="I79" s="248"/>
    </row>
    <row r="80" spans="1:9" ht="27" customHeight="1" x14ac:dyDescent="0.4">
      <c r="A80" s="70" t="s">
        <v>48</v>
      </c>
      <c r="B80" s="71">
        <v>1</v>
      </c>
      <c r="C80" s="167">
        <v>4</v>
      </c>
      <c r="D80" s="88"/>
      <c r="E80" s="89" t="str">
        <f>IF(ISBLANK(D80),"-",$D$87/$D$84*D80)</f>
        <v>-</v>
      </c>
      <c r="F80" s="168"/>
      <c r="G80" s="90" t="str">
        <f>IF(ISBLANK(F80),"-",$D$87/$F$84*F80)</f>
        <v>-</v>
      </c>
      <c r="I80" s="91"/>
    </row>
    <row r="81" spans="1:8" customFormat="1" ht="27" customHeight="1" x14ac:dyDescent="0.4">
      <c r="A81" s="70" t="s">
        <v>49</v>
      </c>
      <c r="B81" s="71">
        <v>1</v>
      </c>
      <c r="C81" s="169" t="s">
        <v>50</v>
      </c>
      <c r="D81" s="170">
        <f>AVERAGE(D77:D80)</f>
        <v>7642454</v>
      </c>
      <c r="E81" s="94">
        <f>AVERAGE(E77:E80)</f>
        <v>8238064.4091701172</v>
      </c>
      <c r="F81" s="171">
        <f>AVERAGE(F77:F80)</f>
        <v>7821272.666666667</v>
      </c>
      <c r="G81" s="172">
        <f>AVERAGE(G77:G80)</f>
        <v>8286975.8484203434</v>
      </c>
      <c r="H81" s="2"/>
    </row>
    <row r="82" spans="1:8" customFormat="1" ht="26.25" customHeight="1" x14ac:dyDescent="0.4">
      <c r="A82" s="70" t="s">
        <v>51</v>
      </c>
      <c r="B82" s="58">
        <v>1</v>
      </c>
      <c r="C82" s="173" t="s">
        <v>93</v>
      </c>
      <c r="D82" s="174">
        <v>20.74</v>
      </c>
      <c r="E82" s="86"/>
      <c r="F82" s="98">
        <v>21.1</v>
      </c>
      <c r="G82" s="2"/>
      <c r="H82" s="2"/>
    </row>
    <row r="83" spans="1:8" customFormat="1" ht="26.25" customHeight="1" x14ac:dyDescent="0.4">
      <c r="A83" s="70" t="s">
        <v>53</v>
      </c>
      <c r="B83" s="58">
        <v>1</v>
      </c>
      <c r="C83" s="175" t="s">
        <v>94</v>
      </c>
      <c r="D83" s="176">
        <f>D82*$B$73</f>
        <v>20.74</v>
      </c>
      <c r="E83" s="101"/>
      <c r="F83" s="100">
        <f>F82*$B$73</f>
        <v>21.1</v>
      </c>
      <c r="G83" s="2"/>
      <c r="H83" s="2"/>
    </row>
    <row r="84" spans="1:8" customFormat="1" ht="19.5" customHeight="1" x14ac:dyDescent="0.3">
      <c r="A84" s="70" t="s">
        <v>55</v>
      </c>
      <c r="B84" s="177">
        <f>(B83/B82)*(B81/B80)*(B79/B78)*(B77/B76)*B75</f>
        <v>100</v>
      </c>
      <c r="C84" s="175" t="s">
        <v>95</v>
      </c>
      <c r="D84" s="178">
        <f>D83*$B$69/100</f>
        <v>20.615560000000002</v>
      </c>
      <c r="E84" s="104"/>
      <c r="F84" s="103">
        <f>F83*$B$69/100</f>
        <v>20.973400000000002</v>
      </c>
      <c r="G84" s="2"/>
      <c r="H84" s="2"/>
    </row>
    <row r="85" spans="1:8" customFormat="1" ht="19.5" customHeight="1" x14ac:dyDescent="0.3">
      <c r="A85" s="234" t="s">
        <v>57</v>
      </c>
      <c r="B85" s="249"/>
      <c r="C85" s="175" t="s">
        <v>96</v>
      </c>
      <c r="D85" s="179">
        <f>D84/$B$84</f>
        <v>0.20615560000000002</v>
      </c>
      <c r="E85" s="104"/>
      <c r="F85" s="107">
        <f>F84/$B$84</f>
        <v>0.209734</v>
      </c>
      <c r="G85" s="180"/>
      <c r="H85" s="96"/>
    </row>
    <row r="86" spans="1:8" customFormat="1" ht="19.5" customHeight="1" x14ac:dyDescent="0.3">
      <c r="A86" s="236"/>
      <c r="B86" s="250"/>
      <c r="C86" s="175" t="s">
        <v>59</v>
      </c>
      <c r="D86" s="181">
        <f>$B$42/$B$102</f>
        <v>0.22222222222222221</v>
      </c>
      <c r="E86" s="2"/>
      <c r="F86" s="112"/>
      <c r="G86" s="182"/>
      <c r="H86" s="96"/>
    </row>
    <row r="87" spans="1:8" customFormat="1" ht="18.75" x14ac:dyDescent="0.3">
      <c r="A87" s="2"/>
      <c r="B87" s="2"/>
      <c r="C87" s="175" t="s">
        <v>60</v>
      </c>
      <c r="D87" s="176">
        <f>D86*$B$84</f>
        <v>22.222222222222221</v>
      </c>
      <c r="E87" s="2"/>
      <c r="F87" s="112"/>
      <c r="G87" s="180"/>
      <c r="H87" s="96"/>
    </row>
    <row r="88" spans="1:8" customFormat="1" ht="19.5" customHeight="1" x14ac:dyDescent="0.3">
      <c r="A88" s="2"/>
      <c r="B88" s="2"/>
      <c r="C88" s="183" t="s">
        <v>61</v>
      </c>
      <c r="D88" s="184">
        <f>D87/B20</f>
        <v>22.222222222222221</v>
      </c>
      <c r="E88" s="2"/>
      <c r="F88" s="116"/>
      <c r="G88" s="180"/>
      <c r="H88" s="96"/>
    </row>
    <row r="89" spans="1:8" customFormat="1" ht="18.75" x14ac:dyDescent="0.3">
      <c r="A89" s="2"/>
      <c r="B89" s="2"/>
      <c r="C89" s="185" t="s">
        <v>97</v>
      </c>
      <c r="D89" s="186">
        <f>AVERAGE(E77:E80,G77:G80)</f>
        <v>8262520.1287952298</v>
      </c>
      <c r="E89" s="2"/>
      <c r="F89" s="116"/>
      <c r="G89" s="187"/>
      <c r="H89" s="96"/>
    </row>
    <row r="90" spans="1:8" customFormat="1" ht="18.75" x14ac:dyDescent="0.3">
      <c r="A90" s="2"/>
      <c r="B90" s="2"/>
      <c r="C90" s="152" t="s">
        <v>63</v>
      </c>
      <c r="D90" s="188">
        <f>STDEV(E77:E80,G77:G80)/D89</f>
        <v>3.987631411090548E-3</v>
      </c>
      <c r="E90" s="2"/>
      <c r="F90" s="116"/>
      <c r="G90" s="180"/>
      <c r="H90" s="96"/>
    </row>
    <row r="91" spans="1:8" customFormat="1" ht="19.5" customHeight="1" x14ac:dyDescent="0.3">
      <c r="A91" s="2"/>
      <c r="B91" s="2"/>
      <c r="C91" s="155" t="s">
        <v>64</v>
      </c>
      <c r="D91" s="189">
        <f>COUNT(E77:E80,G77:G80)</f>
        <v>6</v>
      </c>
      <c r="E91" s="2"/>
      <c r="F91" s="116"/>
      <c r="G91" s="180"/>
      <c r="H91" s="96"/>
    </row>
    <row r="92" spans="1:8" customFormat="1" ht="19.5" customHeight="1" x14ac:dyDescent="0.3">
      <c r="A92" s="120"/>
      <c r="B92" s="120"/>
      <c r="C92" s="120"/>
      <c r="D92" s="120"/>
      <c r="E92" s="120"/>
      <c r="F92" s="2"/>
      <c r="G92" s="2"/>
      <c r="H92" s="2"/>
    </row>
    <row r="93" spans="1:8" customFormat="1" ht="26.25" customHeight="1" x14ac:dyDescent="0.4">
      <c r="A93" s="68" t="s">
        <v>98</v>
      </c>
      <c r="B93" s="69">
        <v>900</v>
      </c>
      <c r="C93" s="190" t="s">
        <v>99</v>
      </c>
      <c r="D93" s="191" t="s">
        <v>42</v>
      </c>
      <c r="E93" s="192" t="s">
        <v>100</v>
      </c>
      <c r="F93" s="193" t="s">
        <v>101</v>
      </c>
      <c r="G93" s="2"/>
      <c r="H93" s="2"/>
    </row>
    <row r="94" spans="1:8" customFormat="1" ht="26.25" customHeight="1" x14ac:dyDescent="0.4">
      <c r="A94" s="70" t="s">
        <v>102</v>
      </c>
      <c r="B94" s="71">
        <v>1</v>
      </c>
      <c r="C94" s="194">
        <v>1</v>
      </c>
      <c r="D94" s="195">
        <v>7115117</v>
      </c>
      <c r="E94" s="196">
        <f t="shared" ref="E94:E99" si="1">IF(ISBLANK(D94),"-",D94/$D$89*$D$86*$B$102)</f>
        <v>172.22631567827636</v>
      </c>
      <c r="F94" s="197">
        <f t="shared" ref="F94:F98" si="2">IF(ISBLANK(D94), "-", E94/$B$42)</f>
        <v>0.86113157839138177</v>
      </c>
      <c r="G94" s="2"/>
      <c r="H94" s="2"/>
    </row>
    <row r="95" spans="1:8" customFormat="1" ht="26.25" customHeight="1" x14ac:dyDescent="0.4">
      <c r="A95" s="70" t="s">
        <v>75</v>
      </c>
      <c r="B95" s="71">
        <v>1</v>
      </c>
      <c r="C95" s="194">
        <v>2</v>
      </c>
      <c r="D95" s="195">
        <v>7208593</v>
      </c>
      <c r="E95" s="198">
        <f t="shared" si="1"/>
        <v>174.48896674702794</v>
      </c>
      <c r="F95" s="199">
        <f t="shared" si="2"/>
        <v>0.8724448337351397</v>
      </c>
      <c r="G95" s="2"/>
      <c r="H95" s="2"/>
    </row>
    <row r="96" spans="1:8" customFormat="1" ht="26.25" customHeight="1" x14ac:dyDescent="0.4">
      <c r="A96" s="70" t="s">
        <v>76</v>
      </c>
      <c r="B96" s="71">
        <v>1</v>
      </c>
      <c r="C96" s="194">
        <v>3</v>
      </c>
      <c r="D96" s="195">
        <v>7092616</v>
      </c>
      <c r="E96" s="198">
        <f t="shared" si="1"/>
        <v>171.68166344991849</v>
      </c>
      <c r="F96" s="199">
        <f t="shared" si="2"/>
        <v>0.85840831724959243</v>
      </c>
      <c r="G96" s="2"/>
      <c r="H96" s="2"/>
    </row>
    <row r="97" spans="1:9" ht="26.25" customHeight="1" x14ac:dyDescent="0.4">
      <c r="A97" s="70" t="s">
        <v>77</v>
      </c>
      <c r="B97" s="71">
        <v>1</v>
      </c>
      <c r="C97" s="194">
        <v>4</v>
      </c>
      <c r="D97" s="195">
        <v>7036972</v>
      </c>
      <c r="E97" s="198">
        <f t="shared" si="1"/>
        <v>170.33476204132577</v>
      </c>
      <c r="F97" s="199">
        <f t="shared" si="2"/>
        <v>0.85167381020662891</v>
      </c>
    </row>
    <row r="98" spans="1:9" ht="26.25" customHeight="1" x14ac:dyDescent="0.4">
      <c r="A98" s="70" t="s">
        <v>78</v>
      </c>
      <c r="B98" s="71">
        <v>1</v>
      </c>
      <c r="C98" s="194">
        <v>5</v>
      </c>
      <c r="D98" s="195">
        <v>7425104</v>
      </c>
      <c r="E98" s="198">
        <f t="shared" si="1"/>
        <v>179.72976487217744</v>
      </c>
      <c r="F98" s="199">
        <f t="shared" si="2"/>
        <v>0.89864882436088722</v>
      </c>
    </row>
    <row r="99" spans="1:9" ht="26.25" customHeight="1" x14ac:dyDescent="0.4">
      <c r="A99" s="70" t="s">
        <v>80</v>
      </c>
      <c r="B99" s="71">
        <v>1</v>
      </c>
      <c r="C99" s="200">
        <v>6</v>
      </c>
      <c r="D99" s="201">
        <v>6706496</v>
      </c>
      <c r="E99" s="202">
        <f t="shared" si="1"/>
        <v>162.33536246713828</v>
      </c>
      <c r="F99" s="203">
        <f>IF(ISBLANK(D99), "-", E99/$B$42)</f>
        <v>0.81167681233569144</v>
      </c>
    </row>
    <row r="100" spans="1:9" ht="26.25" customHeight="1" x14ac:dyDescent="0.4">
      <c r="A100" s="70" t="s">
        <v>81</v>
      </c>
      <c r="B100" s="71">
        <v>1</v>
      </c>
      <c r="C100" s="194"/>
      <c r="D100" s="149"/>
      <c r="E100" s="46"/>
      <c r="F100" s="204"/>
    </row>
    <row r="101" spans="1:9" ht="26.25" customHeight="1" x14ac:dyDescent="0.4">
      <c r="A101" s="70" t="s">
        <v>82</v>
      </c>
      <c r="B101" s="71">
        <v>1</v>
      </c>
      <c r="C101" s="194"/>
      <c r="D101" s="205"/>
      <c r="E101" s="206" t="s">
        <v>50</v>
      </c>
      <c r="F101" s="207">
        <f>AVERAGE(F94:F99)</f>
        <v>0.85899736271322036</v>
      </c>
    </row>
    <row r="102" spans="1:9" ht="27" customHeight="1" x14ac:dyDescent="0.4">
      <c r="A102" s="70" t="s">
        <v>83</v>
      </c>
      <c r="B102" s="102">
        <f>(B101/B100)*(B99/B98)*(B97/B96)*(B95/B94)*B93</f>
        <v>900</v>
      </c>
      <c r="C102" s="208"/>
      <c r="D102" s="209"/>
      <c r="E102" s="169" t="s">
        <v>63</v>
      </c>
      <c r="F102" s="210">
        <f>STDEV(F94:F99)/F101</f>
        <v>3.313568155168492E-2</v>
      </c>
      <c r="I102" s="46"/>
    </row>
    <row r="103" spans="1:9" ht="27" customHeight="1" x14ac:dyDescent="0.4">
      <c r="A103" s="234" t="s">
        <v>57</v>
      </c>
      <c r="B103" s="235"/>
      <c r="C103" s="211"/>
      <c r="D103" s="212"/>
      <c r="E103" s="213" t="s">
        <v>64</v>
      </c>
      <c r="F103" s="214">
        <f>COUNT(F94:F99)</f>
        <v>6</v>
      </c>
      <c r="I103" s="46"/>
    </row>
    <row r="104" spans="1:9" ht="19.5" customHeight="1" x14ac:dyDescent="0.3">
      <c r="A104" s="236"/>
      <c r="B104" s="237"/>
      <c r="C104" s="46"/>
      <c r="D104" s="46"/>
      <c r="E104" s="46"/>
      <c r="F104" s="149"/>
      <c r="G104" s="46"/>
      <c r="H104" s="46"/>
      <c r="I104" s="46"/>
    </row>
    <row r="105" spans="1:9" ht="18.75" x14ac:dyDescent="0.3">
      <c r="A105" s="223"/>
      <c r="B105" s="66"/>
      <c r="C105" s="46"/>
      <c r="D105" s="46"/>
      <c r="E105" s="46"/>
      <c r="F105" s="149"/>
      <c r="G105" s="46"/>
      <c r="H105" s="46"/>
      <c r="I105" s="46"/>
    </row>
    <row r="106" spans="1:9" ht="26.25" customHeight="1" x14ac:dyDescent="0.4">
      <c r="A106" s="56" t="s">
        <v>86</v>
      </c>
      <c r="B106" s="157" t="s">
        <v>103</v>
      </c>
      <c r="C106" s="238" t="str">
        <f>B6</f>
        <v>Fluconazole Ph. Eur.</v>
      </c>
      <c r="D106" s="238"/>
      <c r="E106" s="158" t="s">
        <v>104</v>
      </c>
      <c r="F106" s="158"/>
      <c r="G106" s="159">
        <f>F101</f>
        <v>0.85899736271322036</v>
      </c>
      <c r="H106" s="46"/>
      <c r="I106" s="46"/>
    </row>
    <row r="107" spans="1:9" ht="19.5" customHeight="1" x14ac:dyDescent="0.3">
      <c r="A107" s="215"/>
      <c r="B107" s="215"/>
      <c r="C107" s="216"/>
      <c r="D107" s="216"/>
      <c r="E107" s="216"/>
      <c r="F107" s="216"/>
      <c r="G107" s="216"/>
      <c r="H107" s="216"/>
    </row>
    <row r="108" spans="1:9" ht="18.75" x14ac:dyDescent="0.3">
      <c r="B108" s="239" t="s">
        <v>19</v>
      </c>
      <c r="C108" s="239"/>
      <c r="E108" s="164" t="s">
        <v>20</v>
      </c>
      <c r="F108" s="217"/>
      <c r="G108" s="239" t="s">
        <v>21</v>
      </c>
      <c r="H108" s="239"/>
    </row>
    <row r="109" spans="1:9" ht="18.75" x14ac:dyDescent="0.3">
      <c r="A109" s="218" t="s">
        <v>22</v>
      </c>
      <c r="B109" s="219"/>
      <c r="C109" s="219"/>
      <c r="E109" s="219"/>
      <c r="F109" s="46"/>
      <c r="G109" s="220"/>
      <c r="H109" s="220"/>
    </row>
    <row r="110" spans="1:9" ht="18.75" x14ac:dyDescent="0.3">
      <c r="A110" s="218" t="s">
        <v>23</v>
      </c>
      <c r="B110" s="221"/>
      <c r="C110" s="221"/>
      <c r="E110" s="221"/>
      <c r="F110" s="46"/>
      <c r="G110" s="222"/>
      <c r="H110" s="222"/>
    </row>
    <row r="111" spans="1:9" ht="18.75" x14ac:dyDescent="0.3">
      <c r="A111" s="148"/>
      <c r="B111" s="148"/>
      <c r="C111" s="149"/>
      <c r="D111" s="149"/>
      <c r="E111" s="149"/>
      <c r="F111" s="154"/>
      <c r="G111" s="149"/>
      <c r="H111" s="149"/>
      <c r="I111" s="46"/>
    </row>
    <row r="112" spans="1:9" ht="18.75" x14ac:dyDescent="0.3">
      <c r="A112" s="148"/>
      <c r="B112" s="148"/>
      <c r="C112" s="149"/>
      <c r="D112" s="149"/>
      <c r="E112" s="149"/>
      <c r="F112" s="154"/>
      <c r="G112" s="149"/>
      <c r="H112" s="149"/>
      <c r="I112" s="46"/>
    </row>
    <row r="113" spans="1:9" ht="18.75" x14ac:dyDescent="0.3">
      <c r="A113" s="148"/>
      <c r="B113" s="148"/>
      <c r="C113" s="149"/>
      <c r="D113" s="149"/>
      <c r="E113" s="149"/>
      <c r="F113" s="154"/>
      <c r="G113" s="149"/>
      <c r="H113" s="149"/>
      <c r="I113" s="46"/>
    </row>
    <row r="114" spans="1:9" ht="18.75" x14ac:dyDescent="0.3">
      <c r="A114" s="148"/>
      <c r="B114" s="148"/>
      <c r="C114" s="149"/>
      <c r="D114" s="149"/>
      <c r="E114" s="149"/>
      <c r="F114" s="154"/>
      <c r="G114" s="149"/>
      <c r="H114" s="149"/>
      <c r="I114" s="46"/>
    </row>
    <row r="115" spans="1:9" ht="18.75" x14ac:dyDescent="0.3">
      <c r="A115" s="148"/>
      <c r="B115" s="148"/>
      <c r="C115" s="149"/>
      <c r="D115" s="149"/>
      <c r="E115" s="149"/>
      <c r="F115" s="154"/>
      <c r="G115" s="149"/>
      <c r="H115" s="149"/>
      <c r="I115" s="46"/>
    </row>
    <row r="116" spans="1:9" ht="18.75" x14ac:dyDescent="0.3">
      <c r="A116" s="148"/>
      <c r="B116" s="148"/>
      <c r="C116" s="149"/>
      <c r="D116" s="149"/>
      <c r="E116" s="149"/>
      <c r="F116" s="154"/>
      <c r="G116" s="149"/>
      <c r="H116" s="149"/>
      <c r="I116" s="46"/>
    </row>
    <row r="117" spans="1:9" ht="18.75" x14ac:dyDescent="0.3">
      <c r="A117" s="148"/>
      <c r="B117" s="148"/>
      <c r="C117" s="149"/>
      <c r="D117" s="149"/>
      <c r="E117" s="149"/>
      <c r="F117" s="154"/>
      <c r="G117" s="149"/>
      <c r="H117" s="149"/>
      <c r="I117" s="46"/>
    </row>
    <row r="118" spans="1:9" ht="18.75" x14ac:dyDescent="0.3">
      <c r="A118" s="148"/>
      <c r="B118" s="148"/>
      <c r="C118" s="149"/>
      <c r="D118" s="149"/>
      <c r="E118" s="149"/>
      <c r="F118" s="154"/>
      <c r="G118" s="149"/>
      <c r="H118" s="149"/>
      <c r="I118" s="46"/>
    </row>
    <row r="119" spans="1:9" ht="18.75" x14ac:dyDescent="0.3">
      <c r="A119" s="148"/>
      <c r="B119" s="148"/>
      <c r="C119" s="149"/>
      <c r="D119" s="149"/>
      <c r="E119" s="149"/>
      <c r="F119" s="154"/>
      <c r="G119" s="149"/>
      <c r="H119" s="149"/>
      <c r="I119" s="46"/>
    </row>
    <row r="236" spans="1:1" customFormat="1" x14ac:dyDescent="0.25">
      <c r="A236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B12:C12"/>
    <mergeCell ref="A2:H2"/>
    <mergeCell ref="A3:H3"/>
    <mergeCell ref="B4:C4"/>
    <mergeCell ref="B6:C6"/>
    <mergeCell ref="B7:H7"/>
    <mergeCell ref="B13:C13"/>
    <mergeCell ref="C15:G15"/>
    <mergeCell ref="C17:H17"/>
    <mergeCell ref="C18:H18"/>
    <mergeCell ref="D22:E22"/>
    <mergeCell ref="F22:G22"/>
    <mergeCell ref="I25:I26"/>
    <mergeCell ref="A32:B33"/>
    <mergeCell ref="C46:C49"/>
    <mergeCell ref="D46:D49"/>
    <mergeCell ref="C50:C53"/>
    <mergeCell ref="D50:D53"/>
    <mergeCell ref="I78:I79"/>
    <mergeCell ref="A85:B86"/>
    <mergeCell ref="C54:C57"/>
    <mergeCell ref="D54:D57"/>
    <mergeCell ref="A56:B57"/>
    <mergeCell ref="C62:D62"/>
    <mergeCell ref="B65:C65"/>
    <mergeCell ref="B66:C66"/>
    <mergeCell ref="A103:B104"/>
    <mergeCell ref="C106:D106"/>
    <mergeCell ref="B108:C108"/>
    <mergeCell ref="G108:H108"/>
    <mergeCell ref="C68:G68"/>
    <mergeCell ref="C70:H70"/>
    <mergeCell ref="C71:H71"/>
    <mergeCell ref="F75:G75"/>
  </mergeCells>
  <conditionalFormatting sqref="E37">
    <cfRule type="cellIs" dxfId="7" priority="1" operator="greaterThan">
      <formula>0.02</formula>
    </cfRule>
  </conditionalFormatting>
  <conditionalFormatting sqref="D37">
    <cfRule type="cellIs" dxfId="6" priority="2" operator="greaterThan">
      <formula>0.02</formula>
    </cfRule>
  </conditionalFormatting>
  <conditionalFormatting sqref="H59">
    <cfRule type="cellIs" dxfId="5" priority="3" operator="greaterThan">
      <formula>0.02</formula>
    </cfRule>
  </conditionalFormatting>
  <conditionalFormatting sqref="D90">
    <cfRule type="cellIs" dxfId="4" priority="4" operator="greaterThan">
      <formula>0.02</formula>
    </cfRule>
  </conditionalFormatting>
  <conditionalFormatting sqref="I25">
    <cfRule type="cellIs" dxfId="3" priority="5" operator="lessThanOrEqual">
      <formula>0.02</formula>
    </cfRule>
  </conditionalFormatting>
  <conditionalFormatting sqref="I25">
    <cfRule type="cellIs" dxfId="2" priority="6" operator="greaterThan">
      <formula>0.02</formula>
    </cfRule>
  </conditionalFormatting>
  <conditionalFormatting sqref="I78">
    <cfRule type="cellIs" dxfId="1" priority="7" operator="lessThanOrEqual">
      <formula>0.02</formula>
    </cfRule>
  </conditionalFormatting>
  <conditionalFormatting sqref="I78">
    <cfRule type="cellIs" dxfId="0" priority="8" operator="greaterThan">
      <formula>0.02</formula>
    </cfRule>
  </conditionalFormatting>
  <pageMargins left="0.7" right="0.7" top="0.75" bottom="0.75" header="0.3" footer="0.3"/>
  <pageSetup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Fluconazole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2015-04-02T10:31:00Z</cp:lastPrinted>
  <dcterms:created xsi:type="dcterms:W3CDTF">2005-07-05T10:19:27Z</dcterms:created>
  <dcterms:modified xsi:type="dcterms:W3CDTF">2015-04-09T12:15:07Z</dcterms:modified>
  <cp:category/>
</cp:coreProperties>
</file>