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Pregabalin" sheetId="3" r:id="rId3"/>
    <sheet name="Sheet1" sheetId="4" r:id="rId4"/>
  </sheets>
  <definedNames>
    <definedName name="_xlnm.Print_Area" localSheetId="1">Uniformity!$A$1:$G$52</definedName>
  </definedNames>
  <calcPr calcId="145621"/>
</workbook>
</file>

<file path=xl/calcChain.xml><?xml version="1.0" encoding="utf-8"?>
<calcChain xmlns="http://schemas.openxmlformats.org/spreadsheetml/2006/main">
  <c r="F112" i="3" l="1"/>
  <c r="F110" i="3"/>
  <c r="F108" i="3"/>
  <c r="G76" i="3"/>
  <c r="G60" i="3"/>
  <c r="N21" i="4"/>
  <c r="I26" i="4"/>
  <c r="B87" i="3"/>
  <c r="B116" i="3"/>
  <c r="D100" i="3" s="1"/>
  <c r="G38" i="3"/>
  <c r="E38" i="3"/>
  <c r="B30" i="3"/>
  <c r="B34" i="3"/>
  <c r="C120" i="3"/>
  <c r="B98" i="3"/>
  <c r="F97" i="3"/>
  <c r="F95" i="3"/>
  <c r="D95" i="3"/>
  <c r="D9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D101" i="3"/>
  <c r="G91" i="3" s="1"/>
  <c r="I92" i="3"/>
  <c r="F45" i="3"/>
  <c r="F46" i="3" s="1"/>
  <c r="F98" i="3"/>
  <c r="D98" i="3"/>
  <c r="D44" i="3"/>
  <c r="D45" i="3" s="1"/>
  <c r="D46" i="3" s="1"/>
  <c r="I39" i="3"/>
  <c r="G40" i="3"/>
  <c r="D49" i="3"/>
  <c r="G41" i="3"/>
  <c r="E41" i="3"/>
  <c r="D43" i="2"/>
  <c r="B57" i="3" s="1"/>
  <c r="B69" i="3" s="1"/>
  <c r="E23" i="2" l="1"/>
  <c r="E33" i="2"/>
  <c r="E39" i="2"/>
  <c r="E29" i="2"/>
  <c r="E27" i="2"/>
  <c r="E91" i="3"/>
  <c r="D102" i="3"/>
  <c r="D99" i="3"/>
  <c r="F99" i="3"/>
  <c r="G93" i="3"/>
  <c r="E93" i="3"/>
  <c r="G92" i="3"/>
  <c r="G39" i="3"/>
  <c r="G42" i="3" s="1"/>
  <c r="E92" i="3"/>
  <c r="E40" i="3"/>
  <c r="E39" i="3"/>
  <c r="D47" i="2"/>
  <c r="E26" i="2"/>
  <c r="C47" i="2"/>
  <c r="E40" i="2"/>
  <c r="E36" i="2"/>
  <c r="E32" i="2"/>
  <c r="E28" i="2"/>
  <c r="E22" i="2"/>
  <c r="D48" i="2"/>
  <c r="B47" i="2"/>
  <c r="C48" i="2"/>
  <c r="E38" i="2"/>
  <c r="E34" i="2"/>
  <c r="E30" i="2"/>
  <c r="E24" i="2"/>
  <c r="E35" i="2"/>
  <c r="E25" i="2"/>
  <c r="E21" i="2"/>
  <c r="E31" i="2"/>
  <c r="E37" i="2"/>
  <c r="G95" i="3" l="1"/>
  <c r="E95" i="3"/>
  <c r="D103" i="3"/>
  <c r="D105" i="3"/>
  <c r="D50" i="3"/>
  <c r="E42" i="3"/>
  <c r="D52" i="3"/>
  <c r="G67" i="3"/>
  <c r="H67" i="3" s="1"/>
  <c r="G62" i="3"/>
  <c r="H62" i="3" s="1"/>
  <c r="E108" i="3" l="1"/>
  <c r="E110" i="3"/>
  <c r="E109" i="3"/>
  <c r="F109" i="3" s="1"/>
  <c r="G69" i="3"/>
  <c r="H69" i="3" s="1"/>
  <c r="D51" i="3"/>
  <c r="G68" i="3"/>
  <c r="H68" i="3" s="1"/>
  <c r="H60" i="3"/>
  <c r="G64" i="3"/>
  <c r="H64" i="3" s="1"/>
  <c r="G70" i="3"/>
  <c r="H70" i="3" s="1"/>
  <c r="E111" i="3"/>
  <c r="F111" i="3" s="1"/>
  <c r="E113" i="3"/>
  <c r="F113" i="3" s="1"/>
  <c r="E112" i="3"/>
  <c r="D104" i="3"/>
  <c r="G71" i="3"/>
  <c r="H71" i="3" s="1"/>
  <c r="G65" i="3"/>
  <c r="H65" i="3" s="1"/>
  <c r="G61" i="3"/>
  <c r="H61" i="3" s="1"/>
  <c r="G66" i="3"/>
  <c r="H66" i="3" s="1"/>
  <c r="G63" i="3"/>
  <c r="H63" i="3" s="1"/>
  <c r="F117" i="3" l="1"/>
  <c r="F115" i="3"/>
  <c r="G120" i="3" s="1"/>
  <c r="H72" i="3"/>
  <c r="H74" i="3"/>
  <c r="F116" i="3" l="1"/>
  <c r="H73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<sst xmlns="http://schemas.openxmlformats.org/spreadsheetml/2006/main" count="239" uniqueCount="133">
  <si>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</si>
  <si>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</si>
  <si>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Assay</t>
  </si>
  <si>
    <t>Sample(s)</t>
  </si>
  <si>
    <t>Reference Substance:</t>
  </si>
  <si>
    <t>Pregavalex Hard Gelatin Capsules</t>
  </si>
  <si>
    <t>% age Purity:</t>
  </si>
  <si>
    <t>NDQD201403298</t>
  </si>
  <si>
    <t>Weight (mg):</t>
  </si>
  <si>
    <t>Pregabalin</t>
  </si>
  <si>
    <t>Standard Conc (mg/mL):</t>
  </si>
  <si>
    <t>Pregabalin 150mg</t>
  </si>
  <si>
    <t>2014-03-25 12:49:25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</si>
  <si>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</si>
  <si>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</si>
  <si>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</si>
  <si>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</si>
  <si>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</si>
  <si>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</si>
  <si>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</si>
  <si>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</si>
  <si>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</si>
  <si>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</si>
  <si>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</si>
  <si>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</si>
  <si>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</si>
  <si>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</si>
  <si>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</si>
  <si>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</si>
  <si>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</si>
  <si>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</si>
  <si>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</si>
  <si>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</si>
  <si>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</si>
  <si>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</si>
  <si>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</si>
  <si>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</si>
  <si>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</si>
  <si>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</si>
  <si>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2015-07-06 11:04:18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</si>
  <si>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</si>
  <si>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</si>
  <si>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</si>
  <si>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</si>
  <si>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</si>
  <si>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</si>
  <si>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</si>
  <si>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</si>
  <si>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</si>
  <si>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</si>
  <si>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</si>
  <si>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</si>
  <si>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</si>
  <si>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</si>
  <si>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</si>
  <si>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</si>
  <si>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</si>
  <si>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</si>
  <si>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</si>
  <si>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</si>
  <si>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</si>
  <si>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</si>
  <si>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</si>
  <si>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</si>
  <si>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</si>
  <si>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</si>
  <si>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</si>
  <si>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</si>
  <si>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</si>
  <si>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</si>
  <si>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</si>
  <si>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</si>
  <si>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</si>
  <si>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</si>
  <si>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</si>
  <si>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</si>
  <si>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</si>
  <si>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</si>
  <si>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</si>
  <si>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</si>
  <si>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</si>
  <si>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</si>
  <si>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</si>
  <si>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</si>
  <si>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</si>
  <si>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</si>
  <si>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</si>
  <si>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</si>
  <si>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</si>
  <si>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</si>
  <si>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</si>
  <si>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</si>
  <si>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</si>
  <si>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</si>
  <si>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</si>
  <si>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</si>
  <si>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</si>
  <si>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</si>
  <si>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</si>
  <si>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</si>
  <si>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</si>
  <si>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</si>
  <si>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</si>
  <si>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</si>
  <si>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</si>
  <si>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</si>
  <si>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</si>
  <si>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</si>
  <si>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</si>
  <si>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</si>
  <si>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</si>
  <si>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</si>
  <si>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</si>
  <si>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</si>
  <si>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</si>
  <si>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</si>
  <si>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</si>
  <si>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</si>
  <si>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</si>
  <si>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</si>
  <si>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</si>
  <si>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</si>
  <si>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</si>
  <si>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</si>
  <si>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</si>
  <si>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</si>
  <si>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</si>
  <si>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</si>
  <si>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P3 2</t>
  </si>
  <si>
    <t>Khadija</t>
  </si>
  <si>
    <t>Pregatas 75</t>
  </si>
  <si>
    <t>NDQD201503113</t>
  </si>
  <si>
    <t>Pregabalin 75mg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</si>
</sst>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7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14" fontId="11" fillId="2" borderId="7" xfId="0" applyNumberFormat="1" applyFont="1" applyFill="1" applyBorder="1"/>
  </cellXfs>
  <cellStyles count="1">
    <cellStyle name="Normal" xfId="0" builtinId="0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3" t="s">
        <v>0</v>
      </c>
      <c r="B15" s="303"/>
      <c r="C15" s="303"/>
      <c r="D15" s="303"/>
      <c r="E15" s="3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8106706</v>
      </c>
      <c r="C24" s="18">
        <v>7118.8</v>
      </c>
      <c r="D24" s="19">
        <v>1.1000000000000001</v>
      </c>
      <c r="E24" s="20">
        <v>4.7</v>
      </c>
    </row>
    <row r="25" spans="1:6" ht="16.5" customHeight="1" x14ac:dyDescent="0.3">
      <c r="A25" s="17">
        <v>2</v>
      </c>
      <c r="B25" s="18">
        <v>8100143</v>
      </c>
      <c r="C25" s="18">
        <v>7137.9</v>
      </c>
      <c r="D25" s="19">
        <v>1.1000000000000001</v>
      </c>
      <c r="E25" s="19">
        <v>4.7</v>
      </c>
    </row>
    <row r="26" spans="1:6" ht="16.5" customHeight="1" x14ac:dyDescent="0.3">
      <c r="A26" s="17">
        <v>3</v>
      </c>
      <c r="B26" s="18">
        <v>8094294</v>
      </c>
      <c r="C26" s="18">
        <v>7122.6</v>
      </c>
      <c r="D26" s="19">
        <v>1.1000000000000001</v>
      </c>
      <c r="E26" s="19">
        <v>4.7</v>
      </c>
    </row>
    <row r="27" spans="1:6" ht="16.5" customHeight="1" x14ac:dyDescent="0.3">
      <c r="A27" s="17">
        <v>4</v>
      </c>
      <c r="B27" s="18">
        <v>8085301</v>
      </c>
      <c r="C27" s="18">
        <v>7146.2</v>
      </c>
      <c r="D27" s="19">
        <v>1.1000000000000001</v>
      </c>
      <c r="E27" s="19">
        <v>4.7</v>
      </c>
    </row>
    <row r="28" spans="1:6" ht="16.5" customHeight="1" x14ac:dyDescent="0.3">
      <c r="A28" s="17">
        <v>5</v>
      </c>
      <c r="B28" s="18">
        <v>8078490</v>
      </c>
      <c r="C28" s="18">
        <v>7168.7</v>
      </c>
      <c r="D28" s="19">
        <v>1.1000000000000001</v>
      </c>
      <c r="E28" s="19">
        <v>4.7</v>
      </c>
    </row>
    <row r="29" spans="1:6" ht="16.5" customHeight="1" x14ac:dyDescent="0.3">
      <c r="A29" s="17">
        <v>6</v>
      </c>
      <c r="B29" s="21">
        <v>8097734</v>
      </c>
      <c r="C29" s="21">
        <v>7140.2</v>
      </c>
      <c r="D29" s="22">
        <v>1.1000000000000001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8093778</v>
      </c>
      <c r="C30" s="25">
        <f>AVERAGE(C24:C29)</f>
        <v>7139.0666666666666</v>
      </c>
      <c r="D30" s="26">
        <f>AVERAGE(D24:D29)</f>
        <v>1.0999999999999999</v>
      </c>
      <c r="E30" s="26">
        <f>AVERAGE(E24:E29)</f>
        <v>4.7</v>
      </c>
    </row>
    <row r="31" spans="1:6" ht="16.5" customHeight="1" x14ac:dyDescent="0.3">
      <c r="A31" s="27" t="s">
        <v>19</v>
      </c>
      <c r="B31" s="28">
        <f>(STDEV(B24:B29)/B30)</f>
        <v>1.2710162070510757E-3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4" t="s">
        <v>26</v>
      </c>
      <c r="C59" s="30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4" zoomScaleNormal="100" zoomScaleSheetLayoutView="100" workbookViewId="0">
      <selection activeCell="C41" sqref="C41"/>
    </sheetView>
  </sheetViews>
  <sheetFormatPr defaultColWidth="9.140625" defaultRowHeight="16.5" x14ac:dyDescent="0.3"/>
  <cols>
    <col min="1" max="1" width="13.140625" style="23" customWidth="1"/>
    <col min="2" max="2" width="17.85546875" style="3" customWidth="1"/>
    <col min="3" max="3" width="18.85546875" style="23" customWidth="1"/>
    <col min="4" max="4" width="19.7109375" style="24" customWidth="1"/>
    <col min="5" max="5" width="18.42578125" style="2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7" t="s">
        <v>31</v>
      </c>
      <c r="B8" s="307"/>
      <c r="C8" s="307"/>
      <c r="D8" s="307"/>
      <c r="E8" s="307"/>
      <c r="F8" s="307"/>
      <c r="G8" s="307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08" t="s">
        <v>32</v>
      </c>
      <c r="B10" s="308"/>
      <c r="C10" s="308"/>
      <c r="D10" s="308"/>
      <c r="E10" s="308"/>
      <c r="F10" s="308"/>
      <c r="G10" s="308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5" t="s">
        <v>33</v>
      </c>
      <c r="B11" s="30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5" t="s">
        <v>34</v>
      </c>
      <c r="B12" s="30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5" t="s">
        <v>35</v>
      </c>
      <c r="B13" s="30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5" t="s">
        <v>36</v>
      </c>
      <c r="B14" s="305"/>
      <c r="C14" s="306" t="s">
        <v>11</v>
      </c>
      <c r="D14" s="306"/>
      <c r="E14" s="306"/>
      <c r="F14" s="306"/>
      <c r="G14" s="306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5" t="s">
        <v>37</v>
      </c>
      <c r="B15" s="30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5" t="s">
        <v>38</v>
      </c>
      <c r="B16" s="30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9" t="s">
        <v>1</v>
      </c>
      <c r="B18" s="309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137.62</v>
      </c>
      <c r="C21" s="83">
        <v>40.24</v>
      </c>
      <c r="D21" s="84">
        <f t="shared" ref="D21:D40" si="0">B21-C21</f>
        <v>97.38</v>
      </c>
      <c r="E21" s="85">
        <f t="shared" ref="E21:E40" si="1">(D21-$D$43)/$D$43</f>
        <v>4.8032028231068781E-3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135.83000000000001</v>
      </c>
      <c r="C22" s="88">
        <v>39.770000000000003</v>
      </c>
      <c r="D22" s="89">
        <f t="shared" si="0"/>
        <v>96.06</v>
      </c>
      <c r="E22" s="85">
        <f t="shared" si="1"/>
        <v>-8.8170500802253696E-3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135.58000000000001</v>
      </c>
      <c r="C23" s="88">
        <v>38.85</v>
      </c>
      <c r="D23" s="89">
        <f t="shared" si="0"/>
        <v>96.730000000000018</v>
      </c>
      <c r="E23" s="85">
        <f t="shared" si="1"/>
        <v>-1.9037398944428921E-3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136.94999999999999</v>
      </c>
      <c r="C24" s="88">
        <v>40.39</v>
      </c>
      <c r="D24" s="89">
        <f t="shared" si="0"/>
        <v>96.559999999999988</v>
      </c>
      <c r="E24" s="85">
        <f t="shared" si="1"/>
        <v>-3.6578633744178196E-3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136.11000000000001</v>
      </c>
      <c r="C25" s="88">
        <v>41.34</v>
      </c>
      <c r="D25" s="89">
        <f t="shared" si="0"/>
        <v>94.77000000000001</v>
      </c>
      <c r="E25" s="85">
        <f t="shared" si="1"/>
        <v>-2.2127751781209144E-2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127.96</v>
      </c>
      <c r="C26" s="88">
        <v>38.520000000000003</v>
      </c>
      <c r="D26" s="89">
        <f t="shared" si="0"/>
        <v>89.44</v>
      </c>
      <c r="E26" s="85">
        <f t="shared" si="1"/>
        <v>-7.7124682065119313E-2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137.77000000000001</v>
      </c>
      <c r="C27" s="88">
        <v>40.01</v>
      </c>
      <c r="D27" s="89">
        <f t="shared" si="0"/>
        <v>97.760000000000019</v>
      </c>
      <c r="E27" s="85">
        <f t="shared" si="1"/>
        <v>8.7241847195209735E-3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137.54</v>
      </c>
      <c r="C28" s="88">
        <v>41.42</v>
      </c>
      <c r="D28" s="89">
        <f t="shared" si="0"/>
        <v>96.11999999999999</v>
      </c>
      <c r="E28" s="85">
        <f t="shared" si="1"/>
        <v>-8.1979476755285694E-3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137.72999999999999</v>
      </c>
      <c r="C29" s="88">
        <v>39.74</v>
      </c>
      <c r="D29" s="89">
        <f t="shared" si="0"/>
        <v>97.989999999999981</v>
      </c>
      <c r="E29" s="85">
        <f t="shared" si="1"/>
        <v>1.1097410604192115E-2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136.46</v>
      </c>
      <c r="C30" s="88">
        <v>41.09</v>
      </c>
      <c r="D30" s="89">
        <f t="shared" si="0"/>
        <v>95.37</v>
      </c>
      <c r="E30" s="85">
        <f t="shared" si="1"/>
        <v>-1.5936727734239965E-2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134.63999999999999</v>
      </c>
      <c r="C31" s="88">
        <v>39.89</v>
      </c>
      <c r="D31" s="89">
        <f t="shared" si="0"/>
        <v>94.749999999999986</v>
      </c>
      <c r="E31" s="85">
        <f t="shared" si="1"/>
        <v>-2.2334119249441703E-2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137.88</v>
      </c>
      <c r="C32" s="88">
        <v>39.479999999999997</v>
      </c>
      <c r="D32" s="89">
        <f t="shared" si="0"/>
        <v>98.4</v>
      </c>
      <c r="E32" s="85">
        <f t="shared" si="1"/>
        <v>1.5327943702954684E-2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134.94</v>
      </c>
      <c r="C33" s="88">
        <v>39.729999999999997</v>
      </c>
      <c r="D33" s="89">
        <f t="shared" si="0"/>
        <v>95.210000000000008</v>
      </c>
      <c r="E33" s="85">
        <f t="shared" si="1"/>
        <v>-1.7587667480098393E-2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143.18</v>
      </c>
      <c r="C34" s="88">
        <v>41.54</v>
      </c>
      <c r="D34" s="89">
        <f t="shared" si="0"/>
        <v>101.64000000000001</v>
      </c>
      <c r="E34" s="85">
        <f t="shared" si="1"/>
        <v>4.8759473556588648E-2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133.12</v>
      </c>
      <c r="C35" s="88">
        <v>37.89</v>
      </c>
      <c r="D35" s="89">
        <f t="shared" si="0"/>
        <v>95.23</v>
      </c>
      <c r="E35" s="85">
        <f t="shared" si="1"/>
        <v>-1.7381300011866128E-2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136.57</v>
      </c>
      <c r="C36" s="88">
        <v>39.75</v>
      </c>
      <c r="D36" s="89">
        <f t="shared" si="0"/>
        <v>96.82</v>
      </c>
      <c r="E36" s="85">
        <f t="shared" si="1"/>
        <v>-9.7508628739776488E-4</v>
      </c>
      <c r="G36" s="66"/>
      <c r="H36" s="66"/>
    </row>
    <row r="37" spans="1:15" ht="15" x14ac:dyDescent="0.3">
      <c r="A37" s="86">
        <v>17</v>
      </c>
      <c r="B37" s="90">
        <v>145.1</v>
      </c>
      <c r="C37" s="88">
        <v>39.31</v>
      </c>
      <c r="D37" s="89">
        <f t="shared" si="0"/>
        <v>105.78999999999999</v>
      </c>
      <c r="E37" s="85">
        <f t="shared" si="1"/>
        <v>9.1580723214792298E-2</v>
      </c>
    </row>
    <row r="38" spans="1:15" ht="15" x14ac:dyDescent="0.3">
      <c r="A38" s="86">
        <v>18</v>
      </c>
      <c r="B38" s="90">
        <v>137.88</v>
      </c>
      <c r="C38" s="88">
        <v>40.64</v>
      </c>
      <c r="D38" s="89">
        <f t="shared" si="0"/>
        <v>97.24</v>
      </c>
      <c r="E38" s="85">
        <f t="shared" si="1"/>
        <v>3.3586305454807175E-3</v>
      </c>
    </row>
    <row r="39" spans="1:15" ht="15" x14ac:dyDescent="0.3">
      <c r="A39" s="86">
        <v>19</v>
      </c>
      <c r="B39" s="90">
        <v>136.01</v>
      </c>
      <c r="C39" s="88">
        <v>40.24</v>
      </c>
      <c r="D39" s="89">
        <f t="shared" si="0"/>
        <v>95.769999999999982</v>
      </c>
      <c r="E39" s="85">
        <f t="shared" si="1"/>
        <v>-1.1809378369594045E-2</v>
      </c>
    </row>
    <row r="40" spans="1:15" ht="14.25" customHeight="1" x14ac:dyDescent="0.3">
      <c r="A40" s="91">
        <v>20</v>
      </c>
      <c r="B40" s="92">
        <v>139</v>
      </c>
      <c r="C40" s="93">
        <v>39.74</v>
      </c>
      <c r="D40" s="94">
        <f t="shared" si="0"/>
        <v>99.259999999999991</v>
      </c>
      <c r="E40" s="95">
        <f t="shared" si="1"/>
        <v>2.4201744836943768E-2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2737.8700000000008</v>
      </c>
      <c r="C42" s="98">
        <f>SUM(C21:C40)</f>
        <v>799.58</v>
      </c>
      <c r="D42" s="99">
        <f>SUM(D21:D40)</f>
        <v>1938.2900000000002</v>
      </c>
    </row>
    <row r="43" spans="1:15" ht="15.75" customHeight="1" x14ac:dyDescent="0.3">
      <c r="A43" s="100" t="s">
        <v>47</v>
      </c>
      <c r="B43" s="101">
        <f>AVERAGE(B21:B40)</f>
        <v>136.89350000000005</v>
      </c>
      <c r="C43" s="102">
        <f>AVERAGE(C21:C40)</f>
        <v>39.978999999999999</v>
      </c>
      <c r="D43" s="103">
        <f>AVERAGE(D21:D40)</f>
        <v>96.914500000000004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0">
        <f>D43</f>
        <v>96.914500000000004</v>
      </c>
      <c r="C47" s="107">
        <f>-(IF(D43&gt;300, 7.5%, 10%))</f>
        <v>-0.1</v>
      </c>
      <c r="D47" s="108">
        <f>IF(D43&lt;300, D43*0.9, D43*0.925)</f>
        <v>87.223050000000001</v>
      </c>
    </row>
    <row r="48" spans="1:15" ht="15.75" customHeight="1" x14ac:dyDescent="0.3">
      <c r="B48" s="311"/>
      <c r="C48" s="109">
        <f>+(IF(D43&gt;300, 7.5%, 10%))</f>
        <v>0.1</v>
      </c>
      <c r="D48" s="108">
        <f>IF(D43&lt;300, D43*1.1, D43*1.075)</f>
        <v>106.60595000000001</v>
      </c>
    </row>
    <row r="49" spans="1:7" ht="14.25" customHeight="1" x14ac:dyDescent="0.3">
      <c r="A49" s="110"/>
      <c r="D49" s="111"/>
    </row>
    <row r="50" spans="1:7" ht="15" customHeight="1" x14ac:dyDescent="0.3">
      <c r="B50" s="304" t="s">
        <v>26</v>
      </c>
      <c r="C50" s="30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showWhiteSpace="0" view="pageLayout" topLeftCell="A98" zoomScale="55" zoomScaleNormal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0" t="s">
        <v>49</v>
      </c>
      <c r="B1" s="340"/>
      <c r="C1" s="340"/>
      <c r="D1" s="340"/>
      <c r="E1" s="340"/>
      <c r="F1" s="340"/>
      <c r="G1" s="340"/>
      <c r="H1" s="340"/>
      <c r="I1" s="340"/>
    </row>
    <row r="2" spans="1:9" ht="18.75" customHeight="1" x14ac:dyDescent="0.25">
      <c r="A2" s="340"/>
      <c r="B2" s="340"/>
      <c r="C2" s="340"/>
      <c r="D2" s="340"/>
      <c r="E2" s="340"/>
      <c r="F2" s="340"/>
      <c r="G2" s="340"/>
      <c r="H2" s="340"/>
      <c r="I2" s="340"/>
    </row>
    <row r="3" spans="1:9" ht="18.75" customHeight="1" x14ac:dyDescent="0.25">
      <c r="A3" s="340"/>
      <c r="B3" s="340"/>
      <c r="C3" s="340"/>
      <c r="D3" s="340"/>
      <c r="E3" s="340"/>
      <c r="F3" s="340"/>
      <c r="G3" s="340"/>
      <c r="H3" s="340"/>
      <c r="I3" s="340"/>
    </row>
    <row r="4" spans="1:9" ht="18.75" customHeight="1" x14ac:dyDescent="0.25">
      <c r="A4" s="340"/>
      <c r="B4" s="340"/>
      <c r="C4" s="340"/>
      <c r="D4" s="340"/>
      <c r="E4" s="340"/>
      <c r="F4" s="340"/>
      <c r="G4" s="340"/>
      <c r="H4" s="340"/>
      <c r="I4" s="340"/>
    </row>
    <row r="5" spans="1:9" ht="18.75" customHeight="1" x14ac:dyDescent="0.25">
      <c r="A5" s="340"/>
      <c r="B5" s="340"/>
      <c r="C5" s="340"/>
      <c r="D5" s="340"/>
      <c r="E5" s="340"/>
      <c r="F5" s="340"/>
      <c r="G5" s="340"/>
      <c r="H5" s="340"/>
      <c r="I5" s="340"/>
    </row>
    <row r="6" spans="1:9" ht="18.75" customHeight="1" x14ac:dyDescent="0.25">
      <c r="A6" s="340"/>
      <c r="B6" s="340"/>
      <c r="C6" s="340"/>
      <c r="D6" s="340"/>
      <c r="E6" s="340"/>
      <c r="F6" s="340"/>
      <c r="G6" s="340"/>
      <c r="H6" s="340"/>
      <c r="I6" s="340"/>
    </row>
    <row r="7" spans="1:9" ht="18.75" customHeight="1" x14ac:dyDescent="0.25">
      <c r="A7" s="340"/>
      <c r="B7" s="340"/>
      <c r="C7" s="340"/>
      <c r="D7" s="340"/>
      <c r="E7" s="340"/>
      <c r="F7" s="340"/>
      <c r="G7" s="340"/>
      <c r="H7" s="340"/>
      <c r="I7" s="340"/>
    </row>
    <row r="8" spans="1:9" x14ac:dyDescent="0.25">
      <c r="A8" s="341" t="s">
        <v>50</v>
      </c>
      <c r="B8" s="341"/>
      <c r="C8" s="341"/>
      <c r="D8" s="341"/>
      <c r="E8" s="341"/>
      <c r="F8" s="341"/>
      <c r="G8" s="341"/>
      <c r="H8" s="341"/>
      <c r="I8" s="341"/>
    </row>
    <row r="9" spans="1:9" x14ac:dyDescent="0.25">
      <c r="A9" s="341"/>
      <c r="B9" s="341"/>
      <c r="C9" s="341"/>
      <c r="D9" s="341"/>
      <c r="E9" s="341"/>
      <c r="F9" s="341"/>
      <c r="G9" s="341"/>
      <c r="H9" s="341"/>
      <c r="I9" s="341"/>
    </row>
    <row r="10" spans="1:9" x14ac:dyDescent="0.25">
      <c r="A10" s="341"/>
      <c r="B10" s="341"/>
      <c r="C10" s="341"/>
      <c r="D10" s="341"/>
      <c r="E10" s="341"/>
      <c r="F10" s="341"/>
      <c r="G10" s="341"/>
      <c r="H10" s="341"/>
      <c r="I10" s="341"/>
    </row>
    <row r="11" spans="1:9" x14ac:dyDescent="0.25">
      <c r="A11" s="341"/>
      <c r="B11" s="341"/>
      <c r="C11" s="341"/>
      <c r="D11" s="341"/>
      <c r="E11" s="341"/>
      <c r="F11" s="341"/>
      <c r="G11" s="341"/>
      <c r="H11" s="341"/>
      <c r="I11" s="341"/>
    </row>
    <row r="12" spans="1:9" x14ac:dyDescent="0.25">
      <c r="A12" s="341"/>
      <c r="B12" s="341"/>
      <c r="C12" s="341"/>
      <c r="D12" s="341"/>
      <c r="E12" s="341"/>
      <c r="F12" s="341"/>
      <c r="G12" s="341"/>
      <c r="H12" s="341"/>
      <c r="I12" s="341"/>
    </row>
    <row r="13" spans="1:9" x14ac:dyDescent="0.25">
      <c r="A13" s="341"/>
      <c r="B13" s="341"/>
      <c r="C13" s="341"/>
      <c r="D13" s="341"/>
      <c r="E13" s="341"/>
      <c r="F13" s="341"/>
      <c r="G13" s="341"/>
      <c r="H13" s="341"/>
      <c r="I13" s="341"/>
    </row>
    <row r="14" spans="1:9" x14ac:dyDescent="0.25">
      <c r="A14" s="341"/>
      <c r="B14" s="341"/>
      <c r="C14" s="341"/>
      <c r="D14" s="341"/>
      <c r="E14" s="341"/>
      <c r="F14" s="341"/>
      <c r="G14" s="341"/>
      <c r="H14" s="341"/>
      <c r="I14" s="341"/>
    </row>
    <row r="15" spans="1:9" ht="19.5" customHeight="1" x14ac:dyDescent="0.3">
      <c r="A15" s="119"/>
    </row>
    <row r="16" spans="1:9" ht="19.5" customHeight="1" x14ac:dyDescent="0.3">
      <c r="A16" s="313" t="s">
        <v>31</v>
      </c>
      <c r="B16" s="314"/>
      <c r="C16" s="314"/>
      <c r="D16" s="314"/>
      <c r="E16" s="314"/>
      <c r="F16" s="314"/>
      <c r="G16" s="314"/>
      <c r="H16" s="315"/>
    </row>
    <row r="17" spans="1:14" ht="20.25" customHeight="1" x14ac:dyDescent="0.25">
      <c r="A17" s="316" t="s">
        <v>51</v>
      </c>
      <c r="B17" s="316"/>
      <c r="C17" s="316"/>
      <c r="D17" s="316"/>
      <c r="E17" s="316"/>
      <c r="F17" s="316"/>
      <c r="G17" s="316"/>
      <c r="H17" s="316"/>
    </row>
    <row r="18" spans="1:14" ht="26.25" customHeight="1" x14ac:dyDescent="0.4">
      <c r="A18" s="121" t="s">
        <v>33</v>
      </c>
      <c r="B18" s="312" t="s">
        <v>130</v>
      </c>
      <c r="C18" s="312"/>
      <c r="D18" s="291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131</v>
      </c>
      <c r="C19" s="293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7" t="s">
        <v>9</v>
      </c>
      <c r="C20" s="317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7" t="s">
        <v>132</v>
      </c>
      <c r="C21" s="317"/>
      <c r="D21" s="317"/>
      <c r="E21" s="317"/>
      <c r="F21" s="317"/>
      <c r="G21" s="317"/>
      <c r="H21" s="317"/>
      <c r="I21" s="125"/>
    </row>
    <row r="22" spans="1:14" ht="26.25" customHeight="1" x14ac:dyDescent="0.4">
      <c r="A22" s="121" t="s">
        <v>37</v>
      </c>
      <c r="B22" s="126">
        <v>42186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42188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2" t="s">
        <v>9</v>
      </c>
      <c r="C26" s="312"/>
    </row>
    <row r="27" spans="1:14" ht="26.25" customHeight="1" x14ac:dyDescent="0.4">
      <c r="A27" s="130" t="s">
        <v>52</v>
      </c>
      <c r="B27" s="318" t="s">
        <v>128</v>
      </c>
      <c r="C27" s="318"/>
    </row>
    <row r="28" spans="1:14" ht="27" customHeight="1" x14ac:dyDescent="0.4">
      <c r="A28" s="130" t="s">
        <v>6</v>
      </c>
      <c r="B28" s="131">
        <v>99.7</v>
      </c>
    </row>
    <row r="29" spans="1:14" s="15" customFormat="1" ht="27" customHeight="1" x14ac:dyDescent="0.4">
      <c r="A29" s="130" t="s">
        <v>53</v>
      </c>
      <c r="B29" s="132">
        <v>0</v>
      </c>
      <c r="C29" s="319" t="s">
        <v>54</v>
      </c>
      <c r="D29" s="320"/>
      <c r="E29" s="320"/>
      <c r="F29" s="320"/>
      <c r="G29" s="321"/>
      <c r="I29" s="133"/>
      <c r="J29" s="133"/>
      <c r="K29" s="133"/>
      <c r="L29" s="133"/>
    </row>
    <row r="30" spans="1:14" s="15" customFormat="1" ht="19.5" customHeight="1" x14ac:dyDescent="0.3">
      <c r="A30" s="130" t="s">
        <v>55</v>
      </c>
      <c r="B30" s="134">
        <f>B28-B29</f>
        <v>99.7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5" customFormat="1" ht="27" customHeight="1" x14ac:dyDescent="0.4">
      <c r="A31" s="130" t="s">
        <v>56</v>
      </c>
      <c r="B31" s="137">
        <v>1</v>
      </c>
      <c r="C31" s="322" t="s">
        <v>57</v>
      </c>
      <c r="D31" s="323"/>
      <c r="E31" s="323"/>
      <c r="F31" s="323"/>
      <c r="G31" s="323"/>
      <c r="H31" s="324"/>
      <c r="I31" s="133"/>
      <c r="J31" s="133"/>
      <c r="K31" s="133"/>
      <c r="L31" s="133"/>
    </row>
    <row r="32" spans="1:14" s="15" customFormat="1" ht="27" customHeight="1" x14ac:dyDescent="0.4">
      <c r="A32" s="130" t="s">
        <v>58</v>
      </c>
      <c r="B32" s="137">
        <v>1</v>
      </c>
      <c r="C32" s="322" t="s">
        <v>59</v>
      </c>
      <c r="D32" s="323"/>
      <c r="E32" s="323"/>
      <c r="F32" s="323"/>
      <c r="G32" s="323"/>
      <c r="H32" s="324"/>
      <c r="I32" s="133"/>
      <c r="J32" s="133"/>
      <c r="K32" s="133"/>
      <c r="L32" s="138"/>
      <c r="M32" s="138"/>
      <c r="N32" s="139"/>
    </row>
    <row r="33" spans="1:14" s="15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5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5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5" customFormat="1" ht="27" customHeight="1" x14ac:dyDescent="0.4">
      <c r="A36" s="143" t="s">
        <v>62</v>
      </c>
      <c r="B36" s="144">
        <v>25</v>
      </c>
      <c r="C36" s="120"/>
      <c r="D36" s="325" t="s">
        <v>63</v>
      </c>
      <c r="E36" s="326"/>
      <c r="F36" s="325" t="s">
        <v>64</v>
      </c>
      <c r="G36" s="327"/>
      <c r="J36" s="133"/>
      <c r="K36" s="133"/>
      <c r="L36" s="138"/>
      <c r="M36" s="138"/>
      <c r="N36" s="139"/>
    </row>
    <row r="37" spans="1:14" s="15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5" customFormat="1" ht="26.25" customHeight="1" x14ac:dyDescent="0.4">
      <c r="A38" s="145" t="s">
        <v>70</v>
      </c>
      <c r="B38" s="146">
        <v>1</v>
      </c>
      <c r="C38" s="152">
        <v>1</v>
      </c>
      <c r="D38" s="153">
        <v>8111365</v>
      </c>
      <c r="E38" s="154">
        <f>IF(ISBLANK(D38),"-",$D$48/$D$45*D38)</f>
        <v>8135772.316950853</v>
      </c>
      <c r="F38" s="153">
        <v>8390583</v>
      </c>
      <c r="G38" s="155">
        <f>IF(ISBLANK(F38),"-",$D$48/$F$45*F38)</f>
        <v>8167537.3558563879</v>
      </c>
      <c r="I38" s="156"/>
      <c r="J38" s="133"/>
      <c r="K38" s="133"/>
      <c r="L38" s="138"/>
      <c r="M38" s="138"/>
      <c r="N38" s="139"/>
    </row>
    <row r="39" spans="1:14" s="15" customFormat="1" ht="26.25" customHeight="1" x14ac:dyDescent="0.4">
      <c r="A39" s="145" t="s">
        <v>71</v>
      </c>
      <c r="B39" s="146">
        <v>1</v>
      </c>
      <c r="C39" s="157">
        <v>2</v>
      </c>
      <c r="D39" s="158">
        <v>8089696</v>
      </c>
      <c r="E39" s="159">
        <f>IF(ISBLANK(D39),"-",$D$48/$D$45*D39)</f>
        <v>8114038.1143430294</v>
      </c>
      <c r="F39" s="158">
        <v>8372377</v>
      </c>
      <c r="G39" s="160">
        <f>IF(ISBLANK(F39),"-",$D$48/$F$45*F39)</f>
        <v>8149815.3232990885</v>
      </c>
      <c r="I39" s="329">
        <f>ABS((F43/D43*D42)-F42)/D42</f>
        <v>4.7339347344732847E-3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8072366</v>
      </c>
      <c r="E40" s="159">
        <f>IF(ISBLANK(D40),"-",$D$48/$D$45*D40)</f>
        <v>8096655.9679037109</v>
      </c>
      <c r="F40" s="158">
        <v>8363288</v>
      </c>
      <c r="G40" s="160">
        <f>IF(ISBLANK(F40),"-",$D$48/$F$45*F40)</f>
        <v>8140967.9348604809</v>
      </c>
      <c r="I40" s="329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8091142.333333333</v>
      </c>
      <c r="E42" s="169">
        <f>AVERAGE(E38:E41)</f>
        <v>8115488.7997325314</v>
      </c>
      <c r="F42" s="168">
        <f>AVERAGE(F38:F41)</f>
        <v>8375416</v>
      </c>
      <c r="G42" s="170">
        <f>AVERAGE(G38:G41)</f>
        <v>8152773.5380053194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25</v>
      </c>
      <c r="E43" s="161"/>
      <c r="F43" s="173">
        <v>25.76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25</v>
      </c>
      <c r="E44" s="176"/>
      <c r="F44" s="175">
        <f>F43*$B$34</f>
        <v>25.76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25</v>
      </c>
      <c r="C45" s="174" t="s">
        <v>81</v>
      </c>
      <c r="D45" s="178">
        <f>D44*$B$30/100</f>
        <v>24.925000000000001</v>
      </c>
      <c r="E45" s="179"/>
      <c r="F45" s="178">
        <f>F44*$B$30/100</f>
        <v>25.682720000000003</v>
      </c>
      <c r="H45" s="171"/>
    </row>
    <row r="46" spans="1:14" ht="19.5" customHeight="1" x14ac:dyDescent="0.3">
      <c r="A46" s="330" t="s">
        <v>82</v>
      </c>
      <c r="B46" s="331"/>
      <c r="C46" s="174" t="s">
        <v>83</v>
      </c>
      <c r="D46" s="180">
        <f>D45/$B$45</f>
        <v>0.997</v>
      </c>
      <c r="E46" s="181"/>
      <c r="F46" s="182">
        <f>F45/$B$45</f>
        <v>1.0273088000000001</v>
      </c>
      <c r="H46" s="171"/>
    </row>
    <row r="47" spans="1:14" ht="27" customHeight="1" x14ac:dyDescent="0.4">
      <c r="A47" s="332"/>
      <c r="B47" s="333"/>
      <c r="C47" s="183" t="s">
        <v>84</v>
      </c>
      <c r="D47" s="184">
        <v>1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25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8134131.1688689254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3.1196045472046269E-3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Pregabalin 75mg</v>
      </c>
    </row>
    <row r="56" spans="1:12" ht="26.25" customHeight="1" x14ac:dyDescent="0.4">
      <c r="A56" s="198" t="s">
        <v>91</v>
      </c>
      <c r="B56" s="199">
        <v>75</v>
      </c>
      <c r="C56" s="120" t="str">
        <f>B20</f>
        <v>Pregabalin</v>
      </c>
      <c r="H56" s="200"/>
    </row>
    <row r="57" spans="1:12" ht="18.75" x14ac:dyDescent="0.3">
      <c r="A57" s="197" t="s">
        <v>92</v>
      </c>
      <c r="B57" s="292">
        <f>Uniformity!D43</f>
        <v>96.914500000000004</v>
      </c>
      <c r="H57" s="200"/>
    </row>
    <row r="58" spans="1:12" ht="19.5" customHeight="1" x14ac:dyDescent="0.3">
      <c r="H58" s="200"/>
    </row>
    <row r="59" spans="1:12" s="15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5" customFormat="1" ht="26.25" customHeight="1" x14ac:dyDescent="0.4">
      <c r="A60" s="145" t="s">
        <v>97</v>
      </c>
      <c r="B60" s="146">
        <v>1</v>
      </c>
      <c r="C60" s="334" t="s">
        <v>98</v>
      </c>
      <c r="D60" s="337">
        <v>63.68</v>
      </c>
      <c r="E60" s="203">
        <v>1</v>
      </c>
      <c r="F60" s="204">
        <v>7549717</v>
      </c>
      <c r="G60" s="294">
        <f>IF(ISBLANK(F60),"-",(F60/$D$50*$D$47*$B$68)*($B$57/$D$60))</f>
        <v>70.627723825132549</v>
      </c>
      <c r="H60" s="205">
        <f t="shared" ref="H60:H71" si="0">IF(ISBLANK(F60),"-",G60/$B$56)</f>
        <v>0.94170298433510069</v>
      </c>
      <c r="L60" s="133"/>
    </row>
    <row r="61" spans="1:12" s="15" customFormat="1" ht="26.25" customHeight="1" x14ac:dyDescent="0.4">
      <c r="A61" s="145" t="s">
        <v>99</v>
      </c>
      <c r="B61" s="146">
        <v>1</v>
      </c>
      <c r="C61" s="335"/>
      <c r="D61" s="338"/>
      <c r="E61" s="206">
        <v>2</v>
      </c>
      <c r="F61" s="158">
        <v>7528482</v>
      </c>
      <c r="G61" s="295">
        <f>IF(ISBLANK(F61),"-",(F61/$D$50*$D$47*$B$68)*($B$57/$D$60))</f>
        <v>70.42907005898121</v>
      </c>
      <c r="H61" s="207">
        <f t="shared" si="0"/>
        <v>0.93905426745308285</v>
      </c>
      <c r="L61" s="133"/>
    </row>
    <row r="62" spans="1:12" s="15" customFormat="1" ht="26.25" customHeight="1" x14ac:dyDescent="0.4">
      <c r="A62" s="145" t="s">
        <v>100</v>
      </c>
      <c r="B62" s="146">
        <v>1</v>
      </c>
      <c r="C62" s="335"/>
      <c r="D62" s="338"/>
      <c r="E62" s="206">
        <v>3</v>
      </c>
      <c r="F62" s="208">
        <v>7533745</v>
      </c>
      <c r="G62" s="295">
        <f>IF(ISBLANK(F62),"-",(F62/$D$50*$D$47*$B$68)*($B$57/$D$60))</f>
        <v>70.478305508534064</v>
      </c>
      <c r="H62" s="207">
        <f t="shared" si="0"/>
        <v>0.93971074011378752</v>
      </c>
      <c r="L62" s="133"/>
    </row>
    <row r="63" spans="1:12" ht="27" customHeight="1" x14ac:dyDescent="0.4">
      <c r="A63" s="145" t="s">
        <v>101</v>
      </c>
      <c r="B63" s="146">
        <v>1</v>
      </c>
      <c r="C63" s="336"/>
      <c r="D63" s="339"/>
      <c r="E63" s="209">
        <v>4</v>
      </c>
      <c r="F63" s="210"/>
      <c r="G63" s="295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4" t="s">
        <v>103</v>
      </c>
      <c r="D64" s="337">
        <v>65.39</v>
      </c>
      <c r="E64" s="203">
        <v>1</v>
      </c>
      <c r="F64" s="204">
        <v>7680251</v>
      </c>
      <c r="G64" s="296">
        <f>IF(ISBLANK(F64),"-",(F64/$D$50*$D$47*$B$68)*($B$57/$D$64))</f>
        <v>69.969966915815178</v>
      </c>
      <c r="H64" s="211">
        <f t="shared" si="0"/>
        <v>0.93293289221086906</v>
      </c>
    </row>
    <row r="65" spans="1:8" ht="26.25" customHeight="1" x14ac:dyDescent="0.4">
      <c r="A65" s="145" t="s">
        <v>104</v>
      </c>
      <c r="B65" s="146">
        <v>1</v>
      </c>
      <c r="C65" s="335"/>
      <c r="D65" s="338"/>
      <c r="E65" s="206">
        <v>2</v>
      </c>
      <c r="F65" s="158">
        <v>7673457</v>
      </c>
      <c r="G65" s="297">
        <f>IF(ISBLANK(F65),"-",(F65/$D$50*$D$47*$B$68)*($B$57/$D$64))</f>
        <v>69.908071027877924</v>
      </c>
      <c r="H65" s="212">
        <f t="shared" si="0"/>
        <v>0.93210761370503903</v>
      </c>
    </row>
    <row r="66" spans="1:8" ht="26.25" customHeight="1" x14ac:dyDescent="0.4">
      <c r="A66" s="145" t="s">
        <v>105</v>
      </c>
      <c r="B66" s="146">
        <v>1</v>
      </c>
      <c r="C66" s="335"/>
      <c r="D66" s="338"/>
      <c r="E66" s="206">
        <v>3</v>
      </c>
      <c r="F66" s="158">
        <v>7697911</v>
      </c>
      <c r="G66" s="297">
        <f>IF(ISBLANK(F66),"-",(F66/$D$50*$D$47*$B$68)*($B$57/$D$64))</f>
        <v>70.130856138801931</v>
      </c>
      <c r="H66" s="212">
        <f t="shared" si="0"/>
        <v>0.93507808185069241</v>
      </c>
    </row>
    <row r="67" spans="1:8" ht="27" customHeight="1" x14ac:dyDescent="0.4">
      <c r="A67" s="145" t="s">
        <v>106</v>
      </c>
      <c r="B67" s="146">
        <v>1</v>
      </c>
      <c r="C67" s="336"/>
      <c r="D67" s="339"/>
      <c r="E67" s="209">
        <v>4</v>
      </c>
      <c r="F67" s="210"/>
      <c r="G67" s="298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</v>
      </c>
      <c r="C68" s="334" t="s">
        <v>108</v>
      </c>
      <c r="D68" s="337">
        <v>64.56</v>
      </c>
      <c r="E68" s="203">
        <v>1</v>
      </c>
      <c r="F68" s="204">
        <v>7744145</v>
      </c>
      <c r="G68" s="296">
        <f>IF(ISBLANK(F68),"-",(F68/$D$50*$D$47*$B$68)*($B$57/$D$68))</f>
        <v>71.459100752689892</v>
      </c>
      <c r="H68" s="207">
        <f t="shared" si="0"/>
        <v>0.95278801003586522</v>
      </c>
    </row>
    <row r="69" spans="1:8" ht="27" customHeight="1" x14ac:dyDescent="0.4">
      <c r="A69" s="193" t="s">
        <v>109</v>
      </c>
      <c r="B69" s="215">
        <f>(D47*B68)/B56*B57</f>
        <v>64.609666666666669</v>
      </c>
      <c r="C69" s="335"/>
      <c r="D69" s="338"/>
      <c r="E69" s="206">
        <v>2</v>
      </c>
      <c r="F69" s="158">
        <v>7744756</v>
      </c>
      <c r="G69" s="297">
        <f>IF(ISBLANK(F69),"-",(F69/$D$50*$D$47*$B$68)*($B$57/$D$68))</f>
        <v>71.464738755408064</v>
      </c>
      <c r="H69" s="207">
        <f t="shared" si="0"/>
        <v>0.95286318340544085</v>
      </c>
    </row>
    <row r="70" spans="1:8" ht="26.25" customHeight="1" x14ac:dyDescent="0.4">
      <c r="A70" s="347" t="s">
        <v>82</v>
      </c>
      <c r="B70" s="348"/>
      <c r="C70" s="335"/>
      <c r="D70" s="338"/>
      <c r="E70" s="206">
        <v>3</v>
      </c>
      <c r="F70" s="158">
        <v>7737012</v>
      </c>
      <c r="G70" s="297">
        <f>IF(ISBLANK(F70),"-",(F70/$D$50*$D$47*$B$68)*($B$57/$D$68))</f>
        <v>71.393280992642943</v>
      </c>
      <c r="H70" s="207">
        <f t="shared" si="0"/>
        <v>0.95191041323523928</v>
      </c>
    </row>
    <row r="71" spans="1:8" ht="27" customHeight="1" x14ac:dyDescent="0.4">
      <c r="A71" s="349"/>
      <c r="B71" s="350"/>
      <c r="C71" s="346"/>
      <c r="D71" s="339"/>
      <c r="E71" s="209">
        <v>4</v>
      </c>
      <c r="F71" s="210"/>
      <c r="G71" s="298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8"/>
      <c r="G72" s="219" t="s">
        <v>75</v>
      </c>
      <c r="H72" s="220">
        <f>AVERAGE(H60:H71)</f>
        <v>0.94201646514945736</v>
      </c>
    </row>
    <row r="73" spans="1:8" ht="26.25" customHeight="1" x14ac:dyDescent="0.4">
      <c r="C73" s="217"/>
      <c r="D73" s="217"/>
      <c r="E73" s="217"/>
      <c r="F73" s="218"/>
      <c r="G73" s="221" t="s">
        <v>88</v>
      </c>
      <c r="H73" s="299">
        <f>STDEV(H60:H71)/H72</f>
        <v>8.9965776766913266E-3</v>
      </c>
    </row>
    <row r="74" spans="1:8" ht="27" customHeight="1" x14ac:dyDescent="0.4">
      <c r="A74" s="217"/>
      <c r="B74" s="217"/>
      <c r="C74" s="218"/>
      <c r="D74" s="218"/>
      <c r="E74" s="222"/>
      <c r="F74" s="218"/>
      <c r="G74" s="223" t="s">
        <v>20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2" t="str">
        <f>B20</f>
        <v>Pregabalin</v>
      </c>
      <c r="D76" s="342"/>
      <c r="E76" s="226" t="s">
        <v>112</v>
      </c>
      <c r="F76" s="226"/>
      <c r="G76" s="227">
        <f>H72</f>
        <v>0.94201646514945736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8" t="str">
        <f>B26</f>
        <v>Pregabalin</v>
      </c>
      <c r="C79" s="328"/>
    </row>
    <row r="80" spans="1:8" ht="26.25" customHeight="1" x14ac:dyDescent="0.4">
      <c r="A80" s="130" t="s">
        <v>52</v>
      </c>
      <c r="B80" s="328" t="str">
        <f>B27</f>
        <v>P3 2</v>
      </c>
      <c r="C80" s="328"/>
    </row>
    <row r="81" spans="1:12" ht="27" customHeight="1" x14ac:dyDescent="0.4">
      <c r="A81" s="130" t="s">
        <v>6</v>
      </c>
      <c r="B81" s="229">
        <f>B28</f>
        <v>99.7</v>
      </c>
    </row>
    <row r="82" spans="1:12" s="15" customFormat="1" ht="27" customHeight="1" x14ac:dyDescent="0.4">
      <c r="A82" s="130" t="s">
        <v>53</v>
      </c>
      <c r="B82" s="132">
        <v>0</v>
      </c>
      <c r="C82" s="319" t="s">
        <v>54</v>
      </c>
      <c r="D82" s="320"/>
      <c r="E82" s="320"/>
      <c r="F82" s="320"/>
      <c r="G82" s="321"/>
      <c r="I82" s="133"/>
      <c r="J82" s="133"/>
      <c r="K82" s="133"/>
      <c r="L82" s="133"/>
    </row>
    <row r="83" spans="1:12" s="15" customFormat="1" ht="19.5" customHeight="1" x14ac:dyDescent="0.3">
      <c r="A83" s="130" t="s">
        <v>55</v>
      </c>
      <c r="B83" s="134">
        <f>B81-B82</f>
        <v>99.7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5" customFormat="1" ht="27" customHeight="1" x14ac:dyDescent="0.4">
      <c r="A84" s="130" t="s">
        <v>56</v>
      </c>
      <c r="B84" s="137">
        <v>1</v>
      </c>
      <c r="C84" s="322" t="s">
        <v>115</v>
      </c>
      <c r="D84" s="323"/>
      <c r="E84" s="323"/>
      <c r="F84" s="323"/>
      <c r="G84" s="323"/>
      <c r="H84" s="324"/>
      <c r="I84" s="133"/>
      <c r="J84" s="133"/>
      <c r="K84" s="133"/>
      <c r="L84" s="133"/>
    </row>
    <row r="85" spans="1:12" s="15" customFormat="1" ht="27" customHeight="1" x14ac:dyDescent="0.4">
      <c r="A85" s="130" t="s">
        <v>58</v>
      </c>
      <c r="B85" s="137">
        <v>1</v>
      </c>
      <c r="C85" s="322" t="s">
        <v>116</v>
      </c>
      <c r="D85" s="323"/>
      <c r="E85" s="323"/>
      <c r="F85" s="323"/>
      <c r="G85" s="323"/>
      <c r="H85" s="324"/>
      <c r="I85" s="133"/>
      <c r="J85" s="133"/>
      <c r="K85" s="133"/>
      <c r="L85" s="133"/>
    </row>
    <row r="86" spans="1:12" s="15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5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25</v>
      </c>
      <c r="D89" s="230" t="s">
        <v>63</v>
      </c>
      <c r="E89" s="231"/>
      <c r="F89" s="325" t="s">
        <v>64</v>
      </c>
      <c r="G89" s="327"/>
    </row>
    <row r="90" spans="1:12" ht="27" customHeight="1" x14ac:dyDescent="0.4">
      <c r="A90" s="145" t="s">
        <v>65</v>
      </c>
      <c r="B90" s="146">
        <v>4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34">
        <v>1</v>
      </c>
      <c r="D91" s="153">
        <v>622780</v>
      </c>
      <c r="E91" s="154">
        <f>IF(ISBLANK(D91),"-",$D$101/$D$98*D91)</f>
        <v>650681.21029755927</v>
      </c>
      <c r="F91" s="153">
        <v>646053</v>
      </c>
      <c r="G91" s="155">
        <f>IF(ISBLANK(F91),"-",$D$101/$F$98*F91)</f>
        <v>655082.36179812718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626757</v>
      </c>
      <c r="E92" s="159">
        <f>IF(ISBLANK(D92),"-",$D$101/$D$98*D92)</f>
        <v>654836.38415245735</v>
      </c>
      <c r="F92" s="158">
        <v>653751</v>
      </c>
      <c r="G92" s="160">
        <f>IF(ISBLANK(F92),"-",$D$101/$F$98*F92)</f>
        <v>662887.95053639158</v>
      </c>
      <c r="I92" s="329">
        <f>ABS((F96/D96*D95)-F95)/D95</f>
        <v>8.4827499900150417E-3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628288</v>
      </c>
      <c r="E93" s="159">
        <f>IF(ISBLANK(D93),"-",$D$101/$D$98*D93)</f>
        <v>656435.97459043795</v>
      </c>
      <c r="F93" s="158">
        <v>651036</v>
      </c>
      <c r="G93" s="160">
        <f>IF(ISBLANK(F93),"-",$D$101/$F$98*F93)</f>
        <v>660135.00517079176</v>
      </c>
      <c r="I93" s="329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/>
      <c r="F94" s="236"/>
      <c r="G94" s="165"/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625941.66666666663</v>
      </c>
      <c r="E95" s="169">
        <f>AVERAGE(E91:E94)</f>
        <v>653984.52301348478</v>
      </c>
      <c r="F95" s="239">
        <f>AVERAGE(F91:F94)</f>
        <v>650280</v>
      </c>
      <c r="G95" s="240">
        <f>AVERAGE(G91:G94)</f>
        <v>659368.43916843692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25</v>
      </c>
      <c r="E96" s="161"/>
      <c r="F96" s="173">
        <v>25.76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25</v>
      </c>
      <c r="E97" s="176"/>
      <c r="F97" s="175">
        <f>F96*$B$87</f>
        <v>25.76</v>
      </c>
    </row>
    <row r="98" spans="1:10" ht="19.5" customHeight="1" x14ac:dyDescent="0.3">
      <c r="A98" s="145" t="s">
        <v>80</v>
      </c>
      <c r="B98" s="245">
        <f>(B97/B96)*(B95/B94)*(B93/B92)*(B91/B90)*B89</f>
        <v>312.5</v>
      </c>
      <c r="C98" s="243" t="s">
        <v>119</v>
      </c>
      <c r="D98" s="246">
        <f>D97*$B$83/100</f>
        <v>24.925000000000001</v>
      </c>
      <c r="E98" s="179"/>
      <c r="F98" s="178">
        <f>F97*$B$83/100</f>
        <v>25.682720000000003</v>
      </c>
    </row>
    <row r="99" spans="1:10" ht="19.5" customHeight="1" x14ac:dyDescent="0.3">
      <c r="A99" s="330" t="s">
        <v>82</v>
      </c>
      <c r="B99" s="344"/>
      <c r="C99" s="243" t="s">
        <v>120</v>
      </c>
      <c r="D99" s="247">
        <f>D98/$B$98</f>
        <v>7.9759999999999998E-2</v>
      </c>
      <c r="E99" s="179"/>
      <c r="F99" s="182">
        <f>F98/$B$98</f>
        <v>8.2184704000000011E-2</v>
      </c>
      <c r="G99" s="248"/>
      <c r="H99" s="171"/>
    </row>
    <row r="100" spans="1:10" ht="19.5" customHeight="1" x14ac:dyDescent="0.3">
      <c r="A100" s="332"/>
      <c r="B100" s="345"/>
      <c r="C100" s="243" t="s">
        <v>84</v>
      </c>
      <c r="D100" s="249">
        <f>$B$56/$B$116</f>
        <v>8.3333333333333329E-2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26.041666666666664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26.041666666666664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656676.48109096091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6.548905609439837E-3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265">
        <v>580645</v>
      </c>
      <c r="E108" s="300">
        <f>IF(ISBLANK(D108),"-",D108/$D$103*$D$100*$B$116)</f>
        <v>66.316331182824555</v>
      </c>
      <c r="F108" s="266">
        <f>IF(ISBLANK(D108), "-", E108/$B$56)</f>
        <v>0.88421774910432738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265">
        <v>579189</v>
      </c>
      <c r="E109" s="301">
        <f t="shared" ref="E108:E113" si="1">IF(ISBLANK(D109),"-",D109/$D$103*$D$100*$B$116)</f>
        <v>66.150039251950815</v>
      </c>
      <c r="F109" s="267">
        <f>IF(ISBLANK(D109), "-", E109/$B$56)</f>
        <v>0.8820005233593442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577829</v>
      </c>
      <c r="E110" s="301">
        <f>IF(ISBLANK(D110),"-",D110/$D$103*$D$100*$B$116)</f>
        <v>65.994711624211575</v>
      </c>
      <c r="F110" s="267">
        <f>IF(ISBLANK(D110), "-", E110/$B$56)</f>
        <v>0.87992948832282103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577693</v>
      </c>
      <c r="E111" s="301">
        <f t="shared" si="1"/>
        <v>65.97917886143766</v>
      </c>
      <c r="F111" s="267">
        <f>IF(ISBLANK(D111), "-", E111/$B$56)</f>
        <v>0.87972238481916876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580693</v>
      </c>
      <c r="E112" s="301">
        <f t="shared" si="1"/>
        <v>66.321813334391834</v>
      </c>
      <c r="F112" s="267">
        <f>IF(ISBLANK(D112), "-", E112/$B$56)</f>
        <v>0.88429084445855777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580177</v>
      </c>
      <c r="E113" s="302">
        <f t="shared" si="1"/>
        <v>66.262880205043714</v>
      </c>
      <c r="F113" s="270">
        <f>IF(ISBLANK(D113), "-", E113/$B$56)</f>
        <v>0.88350506940058282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/>
      <c r="E115" s="273" t="s">
        <v>75</v>
      </c>
      <c r="F115" s="274">
        <f>AVERAGE(F108:F113)</f>
        <v>0.88227767657746681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5"/>
      <c r="D116" s="276"/>
      <c r="E116" s="237" t="s">
        <v>88</v>
      </c>
      <c r="F116" s="277">
        <f>STDEV(F108:F113)/F115</f>
        <v>2.3472422947126885E-3</v>
      </c>
      <c r="I116" s="119"/>
    </row>
    <row r="117" spans="1:10" ht="27" customHeight="1" x14ac:dyDescent="0.4">
      <c r="A117" s="330" t="s">
        <v>82</v>
      </c>
      <c r="B117" s="331"/>
      <c r="C117" s="278"/>
      <c r="D117" s="279"/>
      <c r="E117" s="280" t="s">
        <v>20</v>
      </c>
      <c r="F117" s="281">
        <f>COUNT(F108:F113)</f>
        <v>6</v>
      </c>
      <c r="I117" s="119"/>
      <c r="J117" s="257"/>
    </row>
    <row r="118" spans="1:10" ht="19.5" customHeight="1" x14ac:dyDescent="0.3">
      <c r="A118" s="332"/>
      <c r="B118" s="333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90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2" t="str">
        <f>B20</f>
        <v>Pregabalin</v>
      </c>
      <c r="D120" s="342"/>
      <c r="E120" s="226" t="s">
        <v>127</v>
      </c>
      <c r="F120" s="226"/>
      <c r="G120" s="227">
        <f>F115</f>
        <v>0.88227767657746681</v>
      </c>
      <c r="H120" s="119"/>
      <c r="I120" s="119"/>
    </row>
    <row r="121" spans="1:10" ht="19.5" customHeight="1" x14ac:dyDescent="0.3">
      <c r="A121" s="282"/>
      <c r="B121" s="282"/>
      <c r="C121" s="283"/>
      <c r="D121" s="283"/>
      <c r="E121" s="283"/>
      <c r="F121" s="283"/>
      <c r="G121" s="283"/>
      <c r="H121" s="283"/>
    </row>
    <row r="122" spans="1:10" ht="18.75" x14ac:dyDescent="0.3">
      <c r="B122" s="343" t="s">
        <v>26</v>
      </c>
      <c r="C122" s="343"/>
      <c r="E122" s="232" t="s">
        <v>27</v>
      </c>
      <c r="F122" s="284"/>
      <c r="G122" s="343" t="s">
        <v>28</v>
      </c>
      <c r="H122" s="343"/>
    </row>
    <row r="123" spans="1:10" ht="69.95" customHeight="1" x14ac:dyDescent="0.3">
      <c r="A123" s="285" t="s">
        <v>29</v>
      </c>
      <c r="B123" s="286" t="s">
        <v>129</v>
      </c>
      <c r="C123" s="286"/>
      <c r="E123" s="351">
        <v>42188</v>
      </c>
      <c r="F123" s="119"/>
      <c r="G123" s="287"/>
      <c r="H123" s="287"/>
    </row>
    <row r="124" spans="1:10" ht="69.95" customHeight="1" x14ac:dyDescent="0.3">
      <c r="A124" s="285" t="s">
        <v>30</v>
      </c>
      <c r="B124" s="288"/>
      <c r="C124" s="288"/>
      <c r="E124" s="288"/>
      <c r="F124" s="119"/>
      <c r="G124" s="289"/>
      <c r="H124" s="289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1:N26"/>
  <sheetViews>
    <sheetView workbookViewId="0">
      <selection activeCell="I26" sqref="I26"/>
    </sheetView>
  </sheetViews>
  <sheetFormatPr defaultRowHeight="12.75" x14ac:dyDescent="0.2"/>
  <sheetData>
    <row r="21" spans="9:14" x14ac:dyDescent="0.2">
      <c r="N21">
        <f>25/25*4/5</f>
        <v>0.8</v>
      </c>
    </row>
    <row r="26" spans="9:14" x14ac:dyDescent="0.2">
      <c r="I26">
        <f>150/900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Pregabalin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2015-07-06T09:43:08Z</cp:lastPrinted>
  <dcterms:created xsi:type="dcterms:W3CDTF">2005-07-05T10:19:27Z</dcterms:created>
  <dcterms:modified xsi:type="dcterms:W3CDTF">2015-07-06T10:46:33Z</dcterms:modified>
</cp:coreProperties>
</file>