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/>
  </bookViews>
  <sheets>
    <sheet name="SST" sheetId="1" r:id="rId1"/>
    <sheet name="Uniformity" sheetId="4" r:id="rId2"/>
    <sheet name="ciprofloxacin USP" sheetId="2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19" i="1" l="1"/>
  <c r="C18" i="4" l="1"/>
  <c r="C19" i="4"/>
  <c r="B20" i="1" l="1"/>
  <c r="B18" i="1"/>
  <c r="B116" i="2"/>
  <c r="F113" i="2"/>
  <c r="G120" i="2"/>
  <c r="D47" i="2"/>
  <c r="B68" i="2"/>
  <c r="B69" i="2" s="1"/>
  <c r="B30" i="2"/>
  <c r="B57" i="2"/>
  <c r="B45" i="2"/>
  <c r="D50" i="4"/>
  <c r="D49" i="4"/>
  <c r="C49" i="4"/>
  <c r="B49" i="4"/>
  <c r="C46" i="4"/>
  <c r="C50" i="4" s="1"/>
  <c r="C45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C120" i="2"/>
  <c r="D100" i="2"/>
  <c r="E113" i="2"/>
  <c r="E112" i="2"/>
  <c r="F112" i="2" s="1"/>
  <c r="E111" i="2"/>
  <c r="F111" i="2" s="1"/>
  <c r="E110" i="2"/>
  <c r="F110" i="2" s="1"/>
  <c r="E109" i="2"/>
  <c r="F109" i="2" s="1"/>
  <c r="E108" i="2"/>
  <c r="F108" i="2" s="1"/>
  <c r="B98" i="2"/>
  <c r="F95" i="2"/>
  <c r="D95" i="2"/>
  <c r="G94" i="2"/>
  <c r="E94" i="2"/>
  <c r="G93" i="2"/>
  <c r="E93" i="2"/>
  <c r="G92" i="2"/>
  <c r="E92" i="2"/>
  <c r="G91" i="2"/>
  <c r="E91" i="2"/>
  <c r="B87" i="2"/>
  <c r="D97" i="2" s="1"/>
  <c r="B81" i="2"/>
  <c r="B83" i="2" s="1"/>
  <c r="B80" i="2"/>
  <c r="B79" i="2"/>
  <c r="C76" i="2"/>
  <c r="H71" i="2"/>
  <c r="G71" i="2"/>
  <c r="H67" i="2"/>
  <c r="G67" i="2"/>
  <c r="H63" i="2"/>
  <c r="G63" i="2"/>
  <c r="H61" i="2"/>
  <c r="G61" i="2"/>
  <c r="H60" i="2"/>
  <c r="G60" i="2"/>
  <c r="C56" i="2"/>
  <c r="B55" i="2"/>
  <c r="D48" i="2"/>
  <c r="F42" i="2"/>
  <c r="D42" i="2"/>
  <c r="B34" i="2"/>
  <c r="F44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2" l="1"/>
  <c r="D101" i="2"/>
  <c r="D102" i="2" s="1"/>
  <c r="F97" i="2"/>
  <c r="F98" i="2" s="1"/>
  <c r="F99" i="2" s="1"/>
  <c r="D98" i="2"/>
  <c r="D99" i="2" s="1"/>
  <c r="D49" i="2"/>
  <c r="F45" i="2"/>
  <c r="F117" i="2"/>
  <c r="E95" i="2"/>
  <c r="G95" i="2"/>
  <c r="F115" i="2"/>
  <c r="I39" i="2"/>
  <c r="D44" i="2"/>
  <c r="D45" i="2" s="1"/>
  <c r="D103" i="2"/>
  <c r="D104" i="2" s="1"/>
  <c r="D105" i="2"/>
  <c r="D46" i="2" l="1"/>
  <c r="B21" i="1" s="1"/>
  <c r="E38" i="2"/>
  <c r="G40" i="2"/>
  <c r="G38" i="2"/>
  <c r="G41" i="2"/>
  <c r="G39" i="2"/>
  <c r="F46" i="2"/>
  <c r="F116" i="2"/>
  <c r="E41" i="2"/>
  <c r="E39" i="2"/>
  <c r="E40" i="2"/>
  <c r="G42" i="2" l="1"/>
  <c r="E42" i="2"/>
  <c r="D50" i="2"/>
  <c r="D52" i="2"/>
  <c r="D51" i="2" l="1"/>
  <c r="G68" i="2"/>
  <c r="H68" i="2" s="1"/>
  <c r="G66" i="2"/>
  <c r="H66" i="2" s="1"/>
  <c r="G70" i="2"/>
  <c r="H70" i="2" s="1"/>
  <c r="G65" i="2"/>
  <c r="H65" i="2" s="1"/>
  <c r="G62" i="2"/>
  <c r="H62" i="2" s="1"/>
  <c r="G69" i="2"/>
  <c r="H69" i="2" s="1"/>
  <c r="G64" i="2"/>
  <c r="H64" i="2" s="1"/>
  <c r="H74" i="2" l="1"/>
  <c r="H72" i="2"/>
  <c r="G76" i="2" s="1"/>
  <c r="H73" i="2" l="1"/>
</calcChain>
</file>

<file path=xl/sharedStrings.xml><?xml version="1.0" encoding="utf-8"?>
<sst xmlns="http://schemas.openxmlformats.org/spreadsheetml/2006/main" count="229" uniqueCount="128">
  <si>
    <t>HPLC System Suitability Report</t>
  </si>
  <si>
    <t>Analysis Data</t>
  </si>
  <si>
    <t>Assay</t>
  </si>
  <si>
    <t>Sample(s)</t>
  </si>
  <si>
    <t>Reference Substance:</t>
  </si>
  <si>
    <t>CIPRO-CIDAL TABLETSS</t>
  </si>
  <si>
    <t>% age Purity:</t>
  </si>
  <si>
    <t>NDQD201503117</t>
  </si>
  <si>
    <t>Weight (mg):</t>
  </si>
  <si>
    <t>CIPROFLOXACIN</t>
  </si>
  <si>
    <t>Standard Conc (mg/mL):</t>
  </si>
  <si>
    <t>Each tablet contains: Ciprofloxacin 500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</si>
  <si>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</si>
  <si>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</si>
  <si>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</si>
  <si>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</si>
  <si>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</si>
  <si>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</si>
  <si>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</si>
  <si>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</si>
  <si>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</si>
  <si>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</si>
  <si>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</si>
  <si>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</si>
  <si>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</si>
  <si>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</si>
  <si>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</si>
  <si>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</si>
  <si>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</si>
  <si>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</si>
  <si>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</si>
  <si>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</si>
  <si>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</si>
  <si>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</si>
  <si>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</si>
  <si>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</si>
  <si>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</si>
  <si>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</si>
  <si>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</si>
  <si>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</si>
  <si>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</si>
  <si>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</si>
  <si>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</si>
  <si>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</si>
  <si>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</si>
  <si>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</si>
  <si>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</si>
  <si>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</si>
  <si>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</si>
  <si>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</si>
  <si>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</si>
  <si>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</si>
  <si>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</si>
  <si>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</si>
  <si>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</si>
  <si>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</si>
  <si>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</si>
  <si>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</si>
  <si>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</si>
  <si>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</si>
  <si>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</si>
  <si>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</si>
  <si>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</si>
  <si>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</si>
  <si>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</si>
  <si>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</si>
  <si>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</si>
  <si>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</si>
  <si>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</si>
  <si>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</si>
  <si>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</si>
  <si>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</si>
  <si>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</si>
  <si>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</si>
  <si>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</si>
  <si>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</si>
  <si>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</si>
  <si>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Capsule contains</t>
  </si>
  <si>
    <t>Average 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</si>
  <si>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</si>
  <si>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</si>
  <si>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</si>
  <si>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</si>
  <si>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</si>
  <si>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</si>
  <si>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</si>
  <si>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</si>
  <si>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</si>
  <si>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</si>
  <si>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</si>
  <si>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</si>
  <si>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</si>
  <si>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</si>
  <si>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</si>
  <si>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</si>
  <si>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</si>
  <si>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</si>
  <si>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</si>
  <si>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</si>
  <si>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</si>
  <si>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</si>
  <si>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</si>
  <si>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</si>
  <si>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</si>
  <si>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</si>
  <si>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</si>
  <si>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</si>
  <si>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</si>
  <si>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</si>
  <si>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</si>
  <si>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</si>
  <si>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</si>
  <si>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</si>
  <si>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</si>
  <si>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</si>
  <si>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</si>
  <si>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</si>
  <si>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</si>
  <si>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</si>
  <si>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</si>
  <si>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</si>
  <si>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</si>
  <si>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Ciprofloxacin Hydrochloride</t>
  </si>
  <si>
    <t>WRS C28-1</t>
  </si>
  <si>
    <t>24th March 2015</t>
  </si>
  <si>
    <t>12th march 2015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</si>
  <si>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2500</t>
    </r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</si>
  <si>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1.5%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</si>
</sst>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[$-409]d/mmm/yy;@"/>
  </numFmts>
  <fonts count="2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0" fontId="9" fillId="2" borderId="0" xfId="0" applyNumberFormat="1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2" fontId="8" fillId="2" borderId="12" xfId="0" applyNumberFormat="1" applyFont="1" applyFill="1" applyBorder="1" applyAlignment="1">
      <alignment horizontal="center"/>
    </xf>
    <xf numFmtId="10" fontId="8" fillId="2" borderId="23" xfId="0" applyNumberFormat="1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40" xfId="0" applyNumberFormat="1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2" fontId="8" fillId="2" borderId="40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2" fontId="8" fillId="2" borderId="30" xfId="0" applyNumberFormat="1" applyFont="1" applyFill="1" applyBorder="1" applyAlignment="1">
      <alignment horizontal="center"/>
    </xf>
    <xf numFmtId="10" fontId="8" fillId="2" borderId="41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10" fontId="10" fillId="7" borderId="26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165" fontId="10" fillId="6" borderId="43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4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5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7" xfId="0" applyNumberFormat="1" applyFont="1" applyFill="1" applyBorder="1" applyAlignment="1">
      <alignment horizontal="center"/>
    </xf>
    <xf numFmtId="1" fontId="9" fillId="6" borderId="48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9" xfId="0" applyFont="1" applyFill="1" applyBorder="1" applyAlignment="1">
      <alignment horizontal="right"/>
    </xf>
    <xf numFmtId="0" fontId="10" fillId="3" borderId="50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1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9" fillId="2" borderId="53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2" fontId="8" fillId="2" borderId="17" xfId="0" applyNumberFormat="1" applyFont="1" applyFill="1" applyBorder="1" applyAlignment="1">
      <alignment horizontal="center"/>
    </xf>
    <xf numFmtId="10" fontId="8" fillId="2" borderId="22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0" fontId="8" fillId="2" borderId="25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2" fontId="8" fillId="2" borderId="28" xfId="0" applyNumberFormat="1" applyFont="1" applyFill="1" applyBorder="1" applyAlignment="1">
      <alignment horizontal="center"/>
    </xf>
    <xf numFmtId="10" fontId="8" fillId="2" borderId="29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169" fontId="9" fillId="2" borderId="0" xfId="0" applyNumberFormat="1" applyFont="1" applyFill="1" applyAlignment="1">
      <alignment horizontal="center"/>
    </xf>
    <xf numFmtId="169" fontId="8" fillId="2" borderId="2" xfId="0" applyNumberFormat="1" applyFont="1" applyFill="1" applyBorder="1" applyAlignment="1">
      <alignment horizontal="right"/>
    </xf>
    <xf numFmtId="10" fontId="10" fillId="7" borderId="18" xfId="0" applyNumberFormat="1" applyFont="1" applyFill="1" applyBorder="1" applyAlignment="1">
      <alignment horizontal="center"/>
    </xf>
    <xf numFmtId="0" fontId="8" fillId="2" borderId="14" xfId="0" applyFont="1" applyFill="1" applyBorder="1"/>
    <xf numFmtId="0" fontId="8" fillId="2" borderId="6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8" fillId="2" borderId="54" xfId="0" applyFont="1" applyFill="1" applyBorder="1" applyAlignment="1">
      <alignment horizontal="center"/>
    </xf>
    <xf numFmtId="0" fontId="8" fillId="2" borderId="55" xfId="0" applyFont="1" applyFill="1" applyBorder="1" applyAlignment="1">
      <alignment horizontal="right"/>
    </xf>
    <xf numFmtId="0" fontId="10" fillId="7" borderId="3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1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1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72" fontId="6" fillId="2" borderId="0" xfId="0" applyNumberFormat="1" applyFont="1" applyFill="1"/>
    <xf numFmtId="170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9" xfId="0" applyNumberFormat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right" vertical="center"/>
    </xf>
    <xf numFmtId="170" fontId="6" fillId="2" borderId="19" xfId="0" applyNumberFormat="1" applyFont="1" applyFill="1" applyBorder="1" applyAlignment="1">
      <alignment horizontal="center" vertical="center"/>
    </xf>
    <xf numFmtId="164" fontId="5" fillId="2" borderId="19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wrapText="1"/>
    </xf>
    <xf numFmtId="164" fontId="5" fillId="2" borderId="19" xfId="0" applyNumberFormat="1" applyFont="1" applyFill="1" applyBorder="1" applyAlignment="1">
      <alignment horizontal="center" wrapText="1"/>
    </xf>
    <xf numFmtId="10" fontId="6" fillId="2" borderId="23" xfId="0" applyNumberFormat="1" applyFont="1" applyFill="1" applyBorder="1" applyAlignment="1">
      <alignment horizontal="center"/>
    </xf>
    <xf numFmtId="10" fontId="6" fillId="2" borderId="40" xfId="0" applyNumberFormat="1" applyFont="1" applyFill="1" applyBorder="1" applyAlignment="1">
      <alignment horizontal="center"/>
    </xf>
    <xf numFmtId="10" fontId="6" fillId="2" borderId="30" xfId="0" applyNumberFormat="1" applyFont="1" applyFill="1" applyBorder="1" applyAlignment="1">
      <alignment horizontal="center"/>
    </xf>
    <xf numFmtId="0" fontId="4" fillId="2" borderId="0" xfId="0" applyFont="1" applyFill="1"/>
    <xf numFmtId="0" fontId="20" fillId="2" borderId="0" xfId="0" applyFont="1" applyFill="1" applyAlignment="1">
      <alignment wrapText="1"/>
    </xf>
    <xf numFmtId="0" fontId="5" fillId="2" borderId="19" xfId="0" applyFont="1" applyFill="1" applyBorder="1" applyAlignment="1">
      <alignment horizontal="center" vertical="center"/>
    </xf>
    <xf numFmtId="165" fontId="5" fillId="2" borderId="35" xfId="0" applyNumberFormat="1" applyFont="1" applyFill="1" applyBorder="1" applyAlignment="1">
      <alignment horizontal="center"/>
    </xf>
    <xf numFmtId="165" fontId="5" fillId="2" borderId="37" xfId="0" applyNumberFormat="1" applyFont="1" applyFill="1" applyBorder="1" applyAlignment="1">
      <alignment horizontal="center"/>
    </xf>
    <xf numFmtId="2" fontId="6" fillId="3" borderId="40" xfId="0" applyNumberFormat="1" applyFont="1" applyFill="1" applyBorder="1" applyProtection="1">
      <protection locked="0"/>
    </xf>
    <xf numFmtId="2" fontId="6" fillId="3" borderId="30" xfId="0" applyNumberFormat="1" applyFont="1" applyFill="1" applyBorder="1" applyProtection="1">
      <protection locked="0"/>
    </xf>
    <xf numFmtId="172" fontId="6" fillId="2" borderId="0" xfId="0" applyNumberFormat="1" applyFont="1" applyFill="1" applyAlignment="1">
      <alignment horizontal="center"/>
    </xf>
    <xf numFmtId="2" fontId="10" fillId="3" borderId="0" xfId="0" applyNumberFormat="1" applyFont="1" applyFill="1" applyAlignment="1" applyProtection="1">
      <alignment horizontal="center"/>
      <protection locked="0"/>
    </xf>
    <xf numFmtId="0" fontId="10" fillId="3" borderId="21" xfId="0" applyFont="1" applyFill="1" applyBorder="1" applyAlignment="1" applyProtection="1">
      <alignment horizontal="center"/>
      <protection locked="0"/>
    </xf>
    <xf numFmtId="0" fontId="10" fillId="3" borderId="14" xfId="0" applyFont="1" applyFill="1" applyBorder="1" applyAlignment="1" applyProtection="1">
      <alignment horizontal="center"/>
      <protection locked="0"/>
    </xf>
    <xf numFmtId="0" fontId="10" fillId="3" borderId="27" xfId="0" applyFont="1" applyFill="1" applyBorder="1" applyAlignment="1" applyProtection="1">
      <alignment horizontal="center"/>
      <protection locked="0"/>
    </xf>
    <xf numFmtId="0" fontId="10" fillId="3" borderId="12" xfId="0" applyFont="1" applyFill="1" applyBorder="1" applyAlignment="1" applyProtection="1">
      <alignment horizontal="center"/>
      <protection locked="0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10" fillId="3" borderId="39" xfId="0" applyFont="1" applyFill="1" applyBorder="1" applyAlignment="1" applyProtection="1">
      <alignment horizontal="center"/>
      <protection locked="0"/>
    </xf>
    <xf numFmtId="169" fontId="10" fillId="3" borderId="24" xfId="0" applyNumberFormat="1" applyFont="1" applyFill="1" applyBorder="1" applyAlignment="1" applyProtection="1">
      <alignment horizontal="center"/>
      <protection locked="0"/>
    </xf>
    <xf numFmtId="169" fontId="10" fillId="3" borderId="28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7" xfId="0" applyFont="1" applyFill="1" applyBorder="1" applyAlignment="1">
      <alignment horizontal="justify" vertical="center" wrapText="1"/>
    </xf>
    <xf numFmtId="0" fontId="16" fillId="2" borderId="58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16" fillId="2" borderId="57" xfId="0" applyFont="1" applyFill="1" applyBorder="1" applyAlignment="1">
      <alignment horizontal="left" vertical="center" wrapText="1"/>
    </xf>
    <xf numFmtId="0" fontId="16" fillId="2" borderId="58" xfId="0" applyFont="1" applyFill="1" applyBorder="1" applyAlignment="1">
      <alignment horizontal="left" vertical="center" wrapText="1"/>
    </xf>
    <xf numFmtId="0" fontId="9" fillId="2" borderId="45" xfId="0" applyFont="1" applyFill="1" applyBorder="1" applyAlignment="1">
      <alignment horizontal="center"/>
    </xf>
    <xf numFmtId="0" fontId="9" fillId="2" borderId="59" xfId="0" applyFont="1" applyFill="1" applyBorder="1" applyAlignment="1">
      <alignment horizontal="center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10" fillId="3" borderId="0" xfId="0" applyFont="1" applyFill="1" applyAlignment="1" applyProtection="1">
      <alignment horizontal="left"/>
      <protection locked="0"/>
    </xf>
    <xf numFmtId="0" fontId="9" fillId="2" borderId="9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34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6" xfId="0" applyFont="1" applyFill="1" applyBorder="1" applyAlignment="1">
      <alignment horizontal="center"/>
    </xf>
    <xf numFmtId="0" fontId="16" fillId="2" borderId="57" xfId="0" applyFont="1" applyFill="1" applyBorder="1" applyAlignment="1">
      <alignment horizontal="center"/>
    </xf>
    <xf numFmtId="0" fontId="16" fillId="2" borderId="58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170" fontId="5" fillId="2" borderId="23" xfId="0" applyNumberFormat="1" applyFont="1" applyFill="1" applyBorder="1" applyAlignment="1">
      <alignment horizontal="center" vertical="center"/>
    </xf>
    <xf numFmtId="170" fontId="5" fillId="2" borderId="30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0" fillId="2" borderId="56" xfId="0" applyFont="1" applyFill="1" applyBorder="1" applyAlignment="1">
      <alignment horizontal="center" wrapText="1"/>
    </xf>
    <xf numFmtId="0" fontId="20" fillId="2" borderId="57" xfId="0" applyFont="1" applyFill="1" applyBorder="1" applyAlignment="1">
      <alignment horizontal="center" wrapText="1"/>
    </xf>
    <xf numFmtId="0" fontId="20" fillId="2" borderId="58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1">
    <cellStyle name="Normal" xfId="0" builtinId="0"/>
  </cellStyles>
  <dxfs count="2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16" workbookViewId="0">
      <selection activeCell="B20" sqref="B2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26.5703125" style="4" customWidth="1"/>
    <col min="4" max="4" width="23" style="4" customWidth="1"/>
    <col min="5" max="5" width="22.4257812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4" t="s">
        <v>0</v>
      </c>
      <c r="B15" s="284"/>
      <c r="C15" s="284"/>
      <c r="D15" s="284"/>
      <c r="E15" s="28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tr">
        <f>'ciprofloxacin USP'!B26:C26</f>
        <v>Ciprofloxacin Hydrochloride</v>
      </c>
      <c r="C18" s="10"/>
      <c r="D18" s="10"/>
      <c r="E18" s="10"/>
    </row>
    <row r="19" spans="1:6" ht="16.5" customHeight="1" x14ac:dyDescent="0.3">
      <c r="A19" s="11" t="s">
        <v>6</v>
      </c>
      <c r="B19" s="12">
        <f>'ciprofloxacin USP'!B30</f>
        <v>93.6</v>
      </c>
      <c r="C19" s="10"/>
      <c r="D19" s="10"/>
      <c r="E19" s="10"/>
    </row>
    <row r="20" spans="1:6" ht="16.5" customHeight="1" x14ac:dyDescent="0.3">
      <c r="A20" s="7" t="s">
        <v>8</v>
      </c>
      <c r="B20" s="12">
        <f>'ciprofloxacin USP'!D43</f>
        <v>25.13</v>
      </c>
      <c r="C20" s="10"/>
      <c r="D20" s="10"/>
      <c r="E20" s="10"/>
    </row>
    <row r="21" spans="1:6" ht="16.5" customHeight="1" x14ac:dyDescent="0.3">
      <c r="A21" s="7" t="s">
        <v>10</v>
      </c>
      <c r="B21" s="13">
        <f>'ciprofloxacin USP'!D46</f>
        <v>0.16951520515918542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42711621</v>
      </c>
      <c r="C24" s="18">
        <v>10630.3</v>
      </c>
      <c r="D24" s="19">
        <v>1.1000000000000001</v>
      </c>
      <c r="E24" s="20">
        <v>6.2</v>
      </c>
    </row>
    <row r="25" spans="1:6" ht="16.5" customHeight="1" x14ac:dyDescent="0.3">
      <c r="A25" s="17">
        <v>2</v>
      </c>
      <c r="B25" s="18">
        <v>42449619</v>
      </c>
      <c r="C25" s="18">
        <v>10683.8</v>
      </c>
      <c r="D25" s="19">
        <v>1.1000000000000001</v>
      </c>
      <c r="E25" s="19">
        <v>6.2</v>
      </c>
    </row>
    <row r="26" spans="1:6" ht="16.5" customHeight="1" x14ac:dyDescent="0.3">
      <c r="A26" s="17">
        <v>3</v>
      </c>
      <c r="B26" s="18">
        <v>42455064</v>
      </c>
      <c r="C26" s="18">
        <v>10692.3</v>
      </c>
      <c r="D26" s="19">
        <v>1.1000000000000001</v>
      </c>
      <c r="E26" s="19">
        <v>6.2</v>
      </c>
    </row>
    <row r="27" spans="1:6" ht="16.5" customHeight="1" x14ac:dyDescent="0.3">
      <c r="A27" s="17">
        <v>4</v>
      </c>
      <c r="B27" s="18">
        <v>42272747</v>
      </c>
      <c r="C27" s="18">
        <v>10678.1</v>
      </c>
      <c r="D27" s="19">
        <v>1.1000000000000001</v>
      </c>
      <c r="E27" s="19">
        <v>6.2</v>
      </c>
    </row>
    <row r="28" spans="1:6" ht="16.5" customHeight="1" x14ac:dyDescent="0.3">
      <c r="A28" s="17">
        <v>5</v>
      </c>
      <c r="B28" s="18">
        <v>41726849</v>
      </c>
      <c r="C28" s="18">
        <v>10700</v>
      </c>
      <c r="D28" s="19">
        <v>1.1000000000000001</v>
      </c>
      <c r="E28" s="19">
        <v>6.2</v>
      </c>
    </row>
    <row r="29" spans="1:6" ht="16.5" customHeight="1" x14ac:dyDescent="0.3">
      <c r="A29" s="17">
        <v>6</v>
      </c>
      <c r="B29" s="21">
        <v>41789773</v>
      </c>
      <c r="C29" s="21">
        <v>10661.8</v>
      </c>
      <c r="D29" s="22">
        <v>1.1000000000000001</v>
      </c>
      <c r="E29" s="22">
        <v>6.2</v>
      </c>
    </row>
    <row r="30" spans="1:6" ht="16.5" customHeight="1" x14ac:dyDescent="0.3">
      <c r="A30" s="23" t="s">
        <v>17</v>
      </c>
      <c r="B30" s="24">
        <f>AVERAGE(B24:B29)</f>
        <v>42234278.833333336</v>
      </c>
      <c r="C30" s="25">
        <f>AVERAGE(C24:C29)</f>
        <v>10674.383333333333</v>
      </c>
      <c r="D30" s="26">
        <f>AVERAGE(D24:D29)</f>
        <v>1.0999999999999999</v>
      </c>
      <c r="E30" s="26">
        <f>AVERAGE(E24:E29)</f>
        <v>6.2</v>
      </c>
    </row>
    <row r="31" spans="1:6" ht="16.5" customHeight="1" x14ac:dyDescent="0.3">
      <c r="A31" s="27" t="s">
        <v>18</v>
      </c>
      <c r="B31" s="28">
        <f>(STDEV(B24:B29)/B30)</f>
        <v>9.3489850086965511E-3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127</v>
      </c>
      <c r="C34" s="38"/>
      <c r="D34" s="38"/>
      <c r="E34" s="39"/>
    </row>
    <row r="35" spans="1:6" ht="16.5" customHeight="1" x14ac:dyDescent="0.3">
      <c r="A35" s="11"/>
      <c r="B35" s="37" t="s">
        <v>126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5" t="s">
        <v>25</v>
      </c>
      <c r="C59" s="285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6" workbookViewId="0">
      <selection activeCell="C19" sqref="C1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26" t="s">
        <v>30</v>
      </c>
      <c r="B11" s="327"/>
      <c r="C11" s="327"/>
      <c r="D11" s="327"/>
      <c r="E11" s="327"/>
      <c r="F11" s="328"/>
      <c r="G11" s="268"/>
    </row>
    <row r="12" spans="1:7" ht="16.5" customHeight="1" x14ac:dyDescent="0.3">
      <c r="A12" s="325" t="s">
        <v>115</v>
      </c>
      <c r="B12" s="325"/>
      <c r="C12" s="325"/>
      <c r="D12" s="325"/>
      <c r="E12" s="325"/>
      <c r="F12" s="325"/>
      <c r="G12" s="267"/>
    </row>
    <row r="14" spans="1:7" ht="16.5" customHeight="1" x14ac:dyDescent="0.3">
      <c r="A14" s="330" t="s">
        <v>32</v>
      </c>
      <c r="B14" s="330"/>
      <c r="C14" s="237" t="s">
        <v>5</v>
      </c>
    </row>
    <row r="15" spans="1:7" ht="16.5" customHeight="1" x14ac:dyDescent="0.3">
      <c r="A15" s="330" t="s">
        <v>33</v>
      </c>
      <c r="B15" s="330"/>
      <c r="C15" s="237" t="s">
        <v>7</v>
      </c>
    </row>
    <row r="16" spans="1:7" ht="16.5" customHeight="1" x14ac:dyDescent="0.3">
      <c r="A16" s="330" t="s">
        <v>34</v>
      </c>
      <c r="B16" s="330"/>
      <c r="C16" s="237" t="s">
        <v>9</v>
      </c>
    </row>
    <row r="17" spans="1:5" ht="16.5" customHeight="1" x14ac:dyDescent="0.3">
      <c r="A17" s="330" t="s">
        <v>35</v>
      </c>
      <c r="B17" s="330"/>
      <c r="C17" s="237" t="s">
        <v>11</v>
      </c>
    </row>
    <row r="18" spans="1:5" ht="16.5" customHeight="1" x14ac:dyDescent="0.3">
      <c r="A18" s="330" t="s">
        <v>36</v>
      </c>
      <c r="B18" s="330"/>
      <c r="C18" s="274" t="str">
        <f>'ciprofloxacin USP'!B22</f>
        <v>12th march 2015</v>
      </c>
    </row>
    <row r="19" spans="1:5" ht="16.5" customHeight="1" x14ac:dyDescent="0.3">
      <c r="A19" s="330" t="s">
        <v>37</v>
      </c>
      <c r="B19" s="330"/>
      <c r="C19" s="274" t="str">
        <f>'ciprofloxacin USP'!B23</f>
        <v>24th March 2015</v>
      </c>
    </row>
    <row r="20" spans="1:5" ht="16.5" customHeight="1" x14ac:dyDescent="0.3">
      <c r="A20" s="239"/>
      <c r="B20" s="239"/>
      <c r="C20" s="254"/>
    </row>
    <row r="21" spans="1:5" ht="16.5" customHeight="1" x14ac:dyDescent="0.3">
      <c r="A21" s="325" t="s">
        <v>1</v>
      </c>
      <c r="B21" s="325"/>
      <c r="C21" s="236" t="s">
        <v>116</v>
      </c>
      <c r="D21" s="243"/>
    </row>
    <row r="22" spans="1:5" ht="15.75" customHeight="1" x14ac:dyDescent="0.3">
      <c r="A22" s="329"/>
      <c r="B22" s="329"/>
      <c r="C22" s="234"/>
      <c r="D22" s="329"/>
      <c r="E22" s="329"/>
    </row>
    <row r="23" spans="1:5" ht="33.75" customHeight="1" x14ac:dyDescent="0.3">
      <c r="C23" s="263" t="s">
        <v>117</v>
      </c>
      <c r="D23" s="262" t="s">
        <v>118</v>
      </c>
      <c r="E23" s="229"/>
    </row>
    <row r="24" spans="1:5" ht="15.75" customHeight="1" x14ac:dyDescent="0.3">
      <c r="C24" s="272">
        <v>883.3</v>
      </c>
      <c r="D24" s="264">
        <f t="shared" ref="D24:D43" si="0">(C24-$C$46)/$C$46</f>
        <v>-1.2073661076283795E-2</v>
      </c>
      <c r="E24" s="230"/>
    </row>
    <row r="25" spans="1:5" ht="15.75" customHeight="1" x14ac:dyDescent="0.3">
      <c r="C25" s="272">
        <v>891.7</v>
      </c>
      <c r="D25" s="265">
        <f t="shared" si="0"/>
        <v>-2.6786862693560175E-3</v>
      </c>
      <c r="E25" s="230"/>
    </row>
    <row r="26" spans="1:5" ht="15.75" customHeight="1" x14ac:dyDescent="0.3">
      <c r="C26" s="272">
        <v>890.1</v>
      </c>
      <c r="D26" s="265">
        <f t="shared" si="0"/>
        <v>-4.4682052801994099E-3</v>
      </c>
      <c r="E26" s="230"/>
    </row>
    <row r="27" spans="1:5" ht="15.75" customHeight="1" x14ac:dyDescent="0.3">
      <c r="C27" s="272">
        <v>894</v>
      </c>
      <c r="D27" s="265">
        <f t="shared" si="0"/>
        <v>-1.0625269126872828E-4</v>
      </c>
      <c r="E27" s="230"/>
    </row>
    <row r="28" spans="1:5" ht="15.75" customHeight="1" x14ac:dyDescent="0.3">
      <c r="C28" s="272">
        <v>895</v>
      </c>
      <c r="D28" s="265">
        <f t="shared" si="0"/>
        <v>1.0121966905083761E-3</v>
      </c>
      <c r="E28" s="230"/>
    </row>
    <row r="29" spans="1:5" ht="15.75" customHeight="1" x14ac:dyDescent="0.3">
      <c r="C29" s="272">
        <v>896.6</v>
      </c>
      <c r="D29" s="265">
        <f t="shared" si="0"/>
        <v>2.8017157013517685E-3</v>
      </c>
      <c r="E29" s="230"/>
    </row>
    <row r="30" spans="1:5" ht="15.75" customHeight="1" x14ac:dyDescent="0.3">
      <c r="C30" s="272">
        <v>897</v>
      </c>
      <c r="D30" s="265">
        <f t="shared" si="0"/>
        <v>3.2490954540625849E-3</v>
      </c>
      <c r="E30" s="230"/>
    </row>
    <row r="31" spans="1:5" ht="15.75" customHeight="1" x14ac:dyDescent="0.3">
      <c r="C31" s="272">
        <v>890.9</v>
      </c>
      <c r="D31" s="265">
        <f t="shared" si="0"/>
        <v>-3.5734457747777773E-3</v>
      </c>
      <c r="E31" s="230"/>
    </row>
    <row r="32" spans="1:5" ht="15.75" customHeight="1" x14ac:dyDescent="0.3">
      <c r="C32" s="272">
        <v>898</v>
      </c>
      <c r="D32" s="265">
        <f t="shared" si="0"/>
        <v>4.3675448358396892E-3</v>
      </c>
      <c r="E32" s="230"/>
    </row>
    <row r="33" spans="1:7" ht="15.75" customHeight="1" x14ac:dyDescent="0.3">
      <c r="C33" s="272">
        <v>888.7</v>
      </c>
      <c r="D33" s="265">
        <f t="shared" si="0"/>
        <v>-6.0340344146873302E-3</v>
      </c>
      <c r="E33" s="230"/>
    </row>
    <row r="34" spans="1:7" ht="15.75" customHeight="1" x14ac:dyDescent="0.3">
      <c r="C34" s="272">
        <v>891.6</v>
      </c>
      <c r="D34" s="265">
        <f t="shared" si="0"/>
        <v>-2.7905312075337534E-3</v>
      </c>
      <c r="E34" s="230"/>
    </row>
    <row r="35" spans="1:7" ht="15.75" customHeight="1" x14ac:dyDescent="0.3">
      <c r="C35" s="272">
        <v>895.9</v>
      </c>
      <c r="D35" s="265">
        <f t="shared" si="0"/>
        <v>2.0188011341077446E-3</v>
      </c>
      <c r="E35" s="230"/>
    </row>
    <row r="36" spans="1:7" ht="15.75" customHeight="1" x14ac:dyDescent="0.3">
      <c r="C36" s="272">
        <v>895.3</v>
      </c>
      <c r="D36" s="265">
        <f t="shared" si="0"/>
        <v>1.3477315050414566E-3</v>
      </c>
      <c r="E36" s="230"/>
    </row>
    <row r="37" spans="1:7" ht="15.75" customHeight="1" x14ac:dyDescent="0.3">
      <c r="C37" s="272">
        <v>881.3</v>
      </c>
      <c r="D37" s="265">
        <f t="shared" si="0"/>
        <v>-1.4310559839838003E-2</v>
      </c>
      <c r="E37" s="230"/>
    </row>
    <row r="38" spans="1:7" ht="15.75" customHeight="1" x14ac:dyDescent="0.3">
      <c r="C38" s="272">
        <v>900.6</v>
      </c>
      <c r="D38" s="265">
        <f t="shared" si="0"/>
        <v>7.2755132284601856E-3</v>
      </c>
      <c r="E38" s="230"/>
    </row>
    <row r="39" spans="1:7" ht="15.75" customHeight="1" x14ac:dyDescent="0.3">
      <c r="C39" s="272">
        <v>897.3</v>
      </c>
      <c r="D39" s="265">
        <f t="shared" si="0"/>
        <v>3.5846302685956653E-3</v>
      </c>
      <c r="E39" s="230"/>
    </row>
    <row r="40" spans="1:7" ht="15.75" customHeight="1" x14ac:dyDescent="0.3">
      <c r="C40" s="272">
        <v>900.9</v>
      </c>
      <c r="D40" s="265">
        <f t="shared" si="0"/>
        <v>7.6110480429932665E-3</v>
      </c>
      <c r="E40" s="230"/>
    </row>
    <row r="41" spans="1:7" ht="15.75" customHeight="1" x14ac:dyDescent="0.3">
      <c r="C41" s="272">
        <v>905.3</v>
      </c>
      <c r="D41" s="265">
        <f t="shared" si="0"/>
        <v>1.25322253228125E-2</v>
      </c>
      <c r="E41" s="230"/>
    </row>
    <row r="42" spans="1:7" ht="15.75" customHeight="1" x14ac:dyDescent="0.3">
      <c r="C42" s="272">
        <v>899.8</v>
      </c>
      <c r="D42" s="265">
        <f t="shared" si="0"/>
        <v>6.3807537230384263E-3</v>
      </c>
      <c r="E42" s="230"/>
    </row>
    <row r="43" spans="1:7" ht="16.5" customHeight="1" x14ac:dyDescent="0.3">
      <c r="C43" s="273">
        <v>888.6</v>
      </c>
      <c r="D43" s="266">
        <f t="shared" si="0"/>
        <v>-6.1458793528650661E-3</v>
      </c>
      <c r="E43" s="230"/>
    </row>
    <row r="44" spans="1:7" ht="16.5" customHeight="1" x14ac:dyDescent="0.3">
      <c r="C44" s="231"/>
      <c r="D44" s="230"/>
      <c r="E44" s="232"/>
    </row>
    <row r="45" spans="1:7" ht="16.5" customHeight="1" x14ac:dyDescent="0.3">
      <c r="B45" s="259" t="s">
        <v>119</v>
      </c>
      <c r="C45" s="260">
        <f>SUM(C24:C44)</f>
        <v>17881.899999999998</v>
      </c>
      <c r="D45" s="255"/>
      <c r="E45" s="231"/>
    </row>
    <row r="46" spans="1:7" ht="17.25" customHeight="1" x14ac:dyDescent="0.3">
      <c r="B46" s="259" t="s">
        <v>120</v>
      </c>
      <c r="C46" s="261">
        <f>AVERAGE(C24:C44)</f>
        <v>894.09499999999991</v>
      </c>
      <c r="E46" s="233"/>
    </row>
    <row r="47" spans="1:7" ht="17.25" customHeight="1" x14ac:dyDescent="0.3">
      <c r="A47" s="237"/>
      <c r="B47" s="256"/>
      <c r="D47" s="235"/>
      <c r="E47" s="233"/>
    </row>
    <row r="48" spans="1:7" ht="33.75" customHeight="1" x14ac:dyDescent="0.3">
      <c r="B48" s="269" t="s">
        <v>120</v>
      </c>
      <c r="C48" s="262" t="s">
        <v>121</v>
      </c>
      <c r="D48" s="257"/>
      <c r="G48" s="235"/>
    </row>
    <row r="49" spans="1:6" ht="17.25" customHeight="1" x14ac:dyDescent="0.3">
      <c r="B49" s="323">
        <f>C46</f>
        <v>894.09499999999991</v>
      </c>
      <c r="C49" s="270">
        <f>-IF(C46&lt;=80,10%,IF(C46&lt;250,7.5%,5%))</f>
        <v>-0.05</v>
      </c>
      <c r="D49" s="258">
        <f>IF(C46&lt;=80,C46*0.9,IF(C46&lt;250,C46*0.925,C46*0.95))</f>
        <v>849.39024999999992</v>
      </c>
    </row>
    <row r="50" spans="1:6" ht="17.25" customHeight="1" x14ac:dyDescent="0.3">
      <c r="B50" s="324"/>
      <c r="C50" s="271">
        <f>IF(C46&lt;=80, 10%, IF(C46&lt;250, 7.5%, 5%))</f>
        <v>0.05</v>
      </c>
      <c r="D50" s="258">
        <f>IF(C46&lt;=80, C46*1.1, IF(C46&lt;250, C46*1.075, C46*1.05))</f>
        <v>938.7997499999999</v>
      </c>
    </row>
    <row r="51" spans="1:6" ht="16.5" customHeight="1" x14ac:dyDescent="0.3">
      <c r="A51" s="240"/>
      <c r="B51" s="241"/>
      <c r="C51" s="237"/>
      <c r="D51" s="242"/>
      <c r="E51" s="237"/>
      <c r="F51" s="243"/>
    </row>
    <row r="52" spans="1:6" ht="16.5" customHeight="1" x14ac:dyDescent="0.3">
      <c r="A52" s="237"/>
      <c r="B52" s="244" t="s">
        <v>25</v>
      </c>
      <c r="C52" s="244"/>
      <c r="D52" s="245" t="s">
        <v>26</v>
      </c>
      <c r="E52" s="246"/>
      <c r="F52" s="245" t="s">
        <v>27</v>
      </c>
    </row>
    <row r="53" spans="1:6" ht="34.5" customHeight="1" x14ac:dyDescent="0.3">
      <c r="A53" s="247" t="s">
        <v>28</v>
      </c>
      <c r="B53" s="248"/>
      <c r="C53" s="249"/>
      <c r="D53" s="248"/>
      <c r="E53" s="238"/>
      <c r="F53" s="250"/>
    </row>
    <row r="54" spans="1:6" ht="34.5" customHeight="1" x14ac:dyDescent="0.3">
      <c r="A54" s="247" t="s">
        <v>29</v>
      </c>
      <c r="B54" s="251"/>
      <c r="C54" s="252"/>
      <c r="D54" s="251"/>
      <c r="E54" s="238"/>
      <c r="F54" s="253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5:N250"/>
  <sheetViews>
    <sheetView topLeftCell="A13" zoomScale="59" zoomScaleNormal="59" workbookViewId="0">
      <selection activeCell="B30" sqref="B3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52"/>
    </row>
    <row r="16" spans="1:8" ht="19.5" customHeight="1" x14ac:dyDescent="0.3">
      <c r="A16" s="318" t="s">
        <v>30</v>
      </c>
      <c r="B16" s="319"/>
      <c r="C16" s="319"/>
      <c r="D16" s="319"/>
      <c r="E16" s="319"/>
      <c r="F16" s="319"/>
      <c r="G16" s="319"/>
      <c r="H16" s="320"/>
    </row>
    <row r="17" spans="1:14" ht="20.25" customHeight="1" x14ac:dyDescent="0.25">
      <c r="A17" s="321" t="s">
        <v>31</v>
      </c>
      <c r="B17" s="321"/>
      <c r="C17" s="321"/>
      <c r="D17" s="321"/>
      <c r="E17" s="321"/>
      <c r="F17" s="321"/>
      <c r="G17" s="321"/>
      <c r="H17" s="321"/>
    </row>
    <row r="18" spans="1:14" ht="26.25" customHeight="1" x14ac:dyDescent="0.4">
      <c r="A18" s="54" t="s">
        <v>32</v>
      </c>
      <c r="B18" s="317" t="s">
        <v>5</v>
      </c>
      <c r="C18" s="317"/>
      <c r="D18" s="228"/>
      <c r="E18" s="55"/>
      <c r="F18" s="56"/>
      <c r="G18" s="56"/>
      <c r="H18" s="56"/>
    </row>
    <row r="19" spans="1:14" ht="26.25" customHeight="1" x14ac:dyDescent="0.4">
      <c r="A19" s="54" t="s">
        <v>33</v>
      </c>
      <c r="B19" s="57" t="s">
        <v>7</v>
      </c>
      <c r="C19" s="56"/>
      <c r="D19" s="56"/>
      <c r="E19" s="56"/>
      <c r="F19" s="56"/>
      <c r="G19" s="56"/>
      <c r="H19" s="56"/>
    </row>
    <row r="20" spans="1:14" ht="26.25" customHeight="1" x14ac:dyDescent="0.4">
      <c r="A20" s="54" t="s">
        <v>34</v>
      </c>
      <c r="B20" s="322" t="s">
        <v>9</v>
      </c>
      <c r="C20" s="322"/>
      <c r="D20" s="56"/>
      <c r="E20" s="56"/>
      <c r="F20" s="56"/>
      <c r="G20" s="56"/>
      <c r="H20" s="56"/>
    </row>
    <row r="21" spans="1:14" ht="26.25" customHeight="1" x14ac:dyDescent="0.4">
      <c r="A21" s="54" t="s">
        <v>35</v>
      </c>
      <c r="B21" s="322" t="s">
        <v>11</v>
      </c>
      <c r="C21" s="322"/>
      <c r="D21" s="322"/>
      <c r="E21" s="322"/>
      <c r="F21" s="322"/>
      <c r="G21" s="322"/>
      <c r="H21" s="322"/>
      <c r="I21" s="58"/>
    </row>
    <row r="22" spans="1:14" ht="26.25" customHeight="1" x14ac:dyDescent="0.4">
      <c r="A22" s="54" t="s">
        <v>36</v>
      </c>
      <c r="B22" s="59" t="s">
        <v>125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37</v>
      </c>
      <c r="B23" s="59" t="s">
        <v>124</v>
      </c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317" t="s">
        <v>122</v>
      </c>
      <c r="C26" s="317"/>
    </row>
    <row r="27" spans="1:14" ht="26.25" customHeight="1" x14ac:dyDescent="0.4">
      <c r="A27" s="63" t="s">
        <v>38</v>
      </c>
      <c r="B27" s="315" t="s">
        <v>123</v>
      </c>
      <c r="C27" s="315"/>
    </row>
    <row r="28" spans="1:14" ht="27" customHeight="1" x14ac:dyDescent="0.4">
      <c r="A28" s="63" t="s">
        <v>6</v>
      </c>
      <c r="B28" s="64">
        <v>99.6</v>
      </c>
    </row>
    <row r="29" spans="1:14" s="14" customFormat="1" ht="27" customHeight="1" x14ac:dyDescent="0.4">
      <c r="A29" s="63" t="s">
        <v>39</v>
      </c>
      <c r="B29" s="65">
        <v>6</v>
      </c>
      <c r="C29" s="292" t="s">
        <v>40</v>
      </c>
      <c r="D29" s="293"/>
      <c r="E29" s="293"/>
      <c r="F29" s="293"/>
      <c r="G29" s="294"/>
      <c r="I29" s="66"/>
      <c r="J29" s="66"/>
      <c r="K29" s="66"/>
      <c r="L29" s="66"/>
    </row>
    <row r="30" spans="1:14" s="14" customFormat="1" ht="19.5" customHeight="1" x14ac:dyDescent="0.3">
      <c r="A30" s="63" t="s">
        <v>41</v>
      </c>
      <c r="B30" s="67">
        <f>B28-B29</f>
        <v>93.6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42</v>
      </c>
      <c r="B31" s="275">
        <v>331.34</v>
      </c>
      <c r="C31" s="295" t="s">
        <v>43</v>
      </c>
      <c r="D31" s="296"/>
      <c r="E31" s="296"/>
      <c r="F31" s="296"/>
      <c r="G31" s="296"/>
      <c r="H31" s="297"/>
      <c r="I31" s="66"/>
      <c r="J31" s="66"/>
      <c r="K31" s="66"/>
      <c r="L31" s="66"/>
    </row>
    <row r="32" spans="1:14" s="14" customFormat="1" ht="27" customHeight="1" x14ac:dyDescent="0.4">
      <c r="A32" s="63" t="s">
        <v>44</v>
      </c>
      <c r="B32" s="275">
        <v>367.81</v>
      </c>
      <c r="C32" s="295" t="s">
        <v>45</v>
      </c>
      <c r="D32" s="296"/>
      <c r="E32" s="296"/>
      <c r="F32" s="296"/>
      <c r="G32" s="296"/>
      <c r="H32" s="297"/>
      <c r="I32" s="66"/>
      <c r="J32" s="66"/>
      <c r="K32" s="66"/>
      <c r="L32" s="70"/>
      <c r="M32" s="70"/>
      <c r="N32" s="71"/>
    </row>
    <row r="33" spans="1:14" s="14" customFormat="1" ht="17.25" customHeight="1" x14ac:dyDescent="0.3">
      <c r="A33" s="63"/>
      <c r="B33" s="72"/>
      <c r="C33" s="73"/>
      <c r="D33" s="73"/>
      <c r="E33" s="73"/>
      <c r="F33" s="73"/>
      <c r="G33" s="73"/>
      <c r="H33" s="73"/>
      <c r="I33" s="66"/>
      <c r="J33" s="66"/>
      <c r="K33" s="66"/>
      <c r="L33" s="70"/>
      <c r="M33" s="70"/>
      <c r="N33" s="71"/>
    </row>
    <row r="34" spans="1:14" s="14" customFormat="1" ht="18.75" x14ac:dyDescent="0.3">
      <c r="A34" s="63" t="s">
        <v>46</v>
      </c>
      <c r="B34" s="74">
        <f>B31/B32</f>
        <v>0.90084554525434324</v>
      </c>
      <c r="C34" s="53" t="s">
        <v>47</v>
      </c>
      <c r="D34" s="53"/>
      <c r="E34" s="53"/>
      <c r="F34" s="53"/>
      <c r="G34" s="53"/>
      <c r="I34" s="66"/>
      <c r="J34" s="66"/>
      <c r="K34" s="66"/>
      <c r="L34" s="70"/>
      <c r="M34" s="70"/>
      <c r="N34" s="71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0"/>
      <c r="M35" s="70"/>
      <c r="N35" s="71"/>
    </row>
    <row r="36" spans="1:14" s="14" customFormat="1" ht="27" customHeight="1" x14ac:dyDescent="0.4">
      <c r="A36" s="75" t="s">
        <v>48</v>
      </c>
      <c r="B36" s="76">
        <v>50</v>
      </c>
      <c r="C36" s="53"/>
      <c r="D36" s="298" t="s">
        <v>49</v>
      </c>
      <c r="E36" s="316"/>
      <c r="F36" s="298" t="s">
        <v>50</v>
      </c>
      <c r="G36" s="299"/>
      <c r="J36" s="66"/>
      <c r="K36" s="66"/>
      <c r="L36" s="70"/>
      <c r="M36" s="70"/>
      <c r="N36" s="71"/>
    </row>
    <row r="37" spans="1:14" s="14" customFormat="1" ht="27" customHeight="1" x14ac:dyDescent="0.4">
      <c r="A37" s="77" t="s">
        <v>51</v>
      </c>
      <c r="B37" s="78">
        <v>4</v>
      </c>
      <c r="C37" s="79" t="s">
        <v>52</v>
      </c>
      <c r="D37" s="80" t="s">
        <v>53</v>
      </c>
      <c r="E37" s="81" t="s">
        <v>54</v>
      </c>
      <c r="F37" s="80" t="s">
        <v>53</v>
      </c>
      <c r="G37" s="82" t="s">
        <v>54</v>
      </c>
      <c r="I37" s="83" t="s">
        <v>55</v>
      </c>
      <c r="J37" s="66"/>
      <c r="K37" s="66"/>
      <c r="L37" s="70"/>
      <c r="M37" s="70"/>
      <c r="N37" s="71"/>
    </row>
    <row r="38" spans="1:14" s="14" customFormat="1" ht="26.25" customHeight="1" x14ac:dyDescent="0.4">
      <c r="A38" s="77" t="s">
        <v>56</v>
      </c>
      <c r="B38" s="78">
        <v>10</v>
      </c>
      <c r="C38" s="84">
        <v>1</v>
      </c>
      <c r="D38" s="276">
        <v>42072413</v>
      </c>
      <c r="E38" s="86">
        <f>IF(ISBLANK(D38),"-",$D$48/$D$45*D38)</f>
        <v>49638512.321642607</v>
      </c>
      <c r="F38" s="276">
        <v>42252679</v>
      </c>
      <c r="G38" s="87">
        <f>IF(ISBLANK(F38),"-",$D$48/$F$45*F38)</f>
        <v>49496664.074653409</v>
      </c>
      <c r="I38" s="88"/>
      <c r="J38" s="66"/>
      <c r="K38" s="66"/>
      <c r="L38" s="70"/>
      <c r="M38" s="70"/>
      <c r="N38" s="71"/>
    </row>
    <row r="39" spans="1:14" s="14" customFormat="1" ht="26.25" customHeight="1" x14ac:dyDescent="0.4">
      <c r="A39" s="77" t="s">
        <v>57</v>
      </c>
      <c r="B39" s="78">
        <v>1</v>
      </c>
      <c r="C39" s="89">
        <v>2</v>
      </c>
      <c r="D39" s="277">
        <v>41941489</v>
      </c>
      <c r="E39" s="91">
        <f>IF(ISBLANK(D39),"-",$D$48/$D$45*D39)</f>
        <v>49484043.582537986</v>
      </c>
      <c r="F39" s="277">
        <v>42674452</v>
      </c>
      <c r="G39" s="92">
        <f>IF(ISBLANK(F39),"-",$D$48/$F$45*F39)</f>
        <v>49990747.692327894</v>
      </c>
      <c r="I39" s="300">
        <f>ABS((F43/D43*D42)-F42)/D42</f>
        <v>2.3735228575564372E-3</v>
      </c>
      <c r="J39" s="66"/>
      <c r="K39" s="66"/>
      <c r="L39" s="70"/>
      <c r="M39" s="70"/>
      <c r="N39" s="71"/>
    </row>
    <row r="40" spans="1:14" ht="26.25" customHeight="1" x14ac:dyDescent="0.4">
      <c r="A40" s="77" t="s">
        <v>58</v>
      </c>
      <c r="B40" s="78">
        <v>1</v>
      </c>
      <c r="C40" s="89">
        <v>3</v>
      </c>
      <c r="D40" s="277">
        <v>42520307</v>
      </c>
      <c r="E40" s="91">
        <f>IF(ISBLANK(D40),"-",$D$48/$D$45*D40)</f>
        <v>50166953.412905656</v>
      </c>
      <c r="F40" s="277">
        <v>42668737</v>
      </c>
      <c r="G40" s="92">
        <f>IF(ISBLANK(F40),"-",$D$48/$F$45*F40)</f>
        <v>49984052.88759879</v>
      </c>
      <c r="I40" s="300"/>
      <c r="L40" s="70"/>
      <c r="M40" s="70"/>
      <c r="N40" s="93"/>
    </row>
    <row r="41" spans="1:14" ht="27" customHeight="1" x14ac:dyDescent="0.4">
      <c r="A41" s="77" t="s">
        <v>59</v>
      </c>
      <c r="B41" s="78">
        <v>1</v>
      </c>
      <c r="C41" s="94">
        <v>4</v>
      </c>
      <c r="D41" s="278">
        <v>42896756</v>
      </c>
      <c r="E41" s="96">
        <f>IF(ISBLANK(D41),"-",$D$48/$D$45*D41)</f>
        <v>50611101.180825934</v>
      </c>
      <c r="F41" s="278">
        <v>42646541</v>
      </c>
      <c r="G41" s="97">
        <f>IF(ISBLANK(F41),"-",$D$48/$F$45*F41)</f>
        <v>49958051.507762</v>
      </c>
      <c r="I41" s="98"/>
      <c r="L41" s="70"/>
      <c r="M41" s="70"/>
      <c r="N41" s="93"/>
    </row>
    <row r="42" spans="1:14" ht="27" customHeight="1" x14ac:dyDescent="0.4">
      <c r="A42" s="77" t="s">
        <v>60</v>
      </c>
      <c r="B42" s="78">
        <v>1</v>
      </c>
      <c r="C42" s="99" t="s">
        <v>61</v>
      </c>
      <c r="D42" s="100">
        <f>AVERAGE(D38:D41)</f>
        <v>42357741.25</v>
      </c>
      <c r="E42" s="101">
        <f>AVERAGE(E38:E41)</f>
        <v>49975152.624478042</v>
      </c>
      <c r="F42" s="100">
        <f>AVERAGE(F38:F41)</f>
        <v>42560602.25</v>
      </c>
      <c r="G42" s="102">
        <f>AVERAGE(G38:G41)</f>
        <v>49857379.040585518</v>
      </c>
      <c r="H42" s="103"/>
    </row>
    <row r="43" spans="1:14" ht="26.25" customHeight="1" x14ac:dyDescent="0.4">
      <c r="A43" s="77" t="s">
        <v>62</v>
      </c>
      <c r="B43" s="78">
        <v>1</v>
      </c>
      <c r="C43" s="104" t="s">
        <v>63</v>
      </c>
      <c r="D43" s="105">
        <v>25.13</v>
      </c>
      <c r="E43" s="93"/>
      <c r="F43" s="105">
        <v>25.31</v>
      </c>
      <c r="H43" s="103"/>
    </row>
    <row r="44" spans="1:14" ht="26.25" customHeight="1" x14ac:dyDescent="0.4">
      <c r="A44" s="77" t="s">
        <v>64</v>
      </c>
      <c r="B44" s="78">
        <v>1</v>
      </c>
      <c r="C44" s="106" t="s">
        <v>65</v>
      </c>
      <c r="D44" s="107">
        <f>D43*$B$34</f>
        <v>22.638248552241645</v>
      </c>
      <c r="E44" s="108"/>
      <c r="F44" s="107">
        <f>F43*$B$34</f>
        <v>22.800400750387425</v>
      </c>
      <c r="H44" s="103"/>
    </row>
    <row r="45" spans="1:14" ht="19.5" customHeight="1" x14ac:dyDescent="0.3">
      <c r="A45" s="77" t="s">
        <v>66</v>
      </c>
      <c r="B45" s="109">
        <f>(B44/B43)*(B42/B41)*(B40/B39)*(B38/B37)*B36</f>
        <v>125</v>
      </c>
      <c r="C45" s="106" t="s">
        <v>67</v>
      </c>
      <c r="D45" s="110">
        <f>D44*$B$30/100</f>
        <v>21.189400644898178</v>
      </c>
      <c r="E45" s="111"/>
      <c r="F45" s="110">
        <f>F44*$B$30/100</f>
        <v>21.341175102362627</v>
      </c>
      <c r="H45" s="103"/>
    </row>
    <row r="46" spans="1:14" ht="19.5" customHeight="1" x14ac:dyDescent="0.3">
      <c r="A46" s="286" t="s">
        <v>68</v>
      </c>
      <c r="B46" s="287"/>
      <c r="C46" s="106" t="s">
        <v>69</v>
      </c>
      <c r="D46" s="112">
        <f>D45/$B$45</f>
        <v>0.16951520515918542</v>
      </c>
      <c r="E46" s="113"/>
      <c r="F46" s="114">
        <f>F45/$B$45</f>
        <v>0.17072940081890101</v>
      </c>
      <c r="H46" s="103"/>
    </row>
    <row r="47" spans="1:14" ht="27" customHeight="1" x14ac:dyDescent="0.4">
      <c r="A47" s="288"/>
      <c r="B47" s="289"/>
      <c r="C47" s="115" t="s">
        <v>70</v>
      </c>
      <c r="D47" s="116">
        <f>25/50*4/10</f>
        <v>0.2</v>
      </c>
      <c r="E47" s="117"/>
      <c r="F47" s="113"/>
      <c r="H47" s="103"/>
    </row>
    <row r="48" spans="1:14" ht="18.75" x14ac:dyDescent="0.3">
      <c r="C48" s="118" t="s">
        <v>71</v>
      </c>
      <c r="D48" s="110">
        <f>D47*$B$45</f>
        <v>25</v>
      </c>
      <c r="F48" s="119"/>
      <c r="H48" s="103"/>
    </row>
    <row r="49" spans="1:12" ht="19.5" customHeight="1" x14ac:dyDescent="0.3">
      <c r="C49" s="120" t="s">
        <v>72</v>
      </c>
      <c r="D49" s="121">
        <f>D48/B34</f>
        <v>27.751705197078532</v>
      </c>
      <c r="F49" s="119"/>
      <c r="H49" s="103"/>
    </row>
    <row r="50" spans="1:12" ht="18.75" x14ac:dyDescent="0.3">
      <c r="C50" s="75" t="s">
        <v>73</v>
      </c>
      <c r="D50" s="122">
        <f>AVERAGE(E38:E41,G38:G41)</f>
        <v>49916265.832531787</v>
      </c>
      <c r="F50" s="123"/>
      <c r="H50" s="103"/>
    </row>
    <row r="51" spans="1:12" ht="18.75" x14ac:dyDescent="0.3">
      <c r="C51" s="77" t="s">
        <v>74</v>
      </c>
      <c r="D51" s="124">
        <f>STDEV(E38:E41,G38:G41)/D50</f>
        <v>7.5627184054638053E-3</v>
      </c>
      <c r="F51" s="123"/>
      <c r="H51" s="103"/>
    </row>
    <row r="52" spans="1:12" ht="19.5" customHeight="1" x14ac:dyDescent="0.3">
      <c r="C52" s="125" t="s">
        <v>19</v>
      </c>
      <c r="D52" s="126">
        <f>COUNT(E38:E41,G38:G41)</f>
        <v>8</v>
      </c>
      <c r="F52" s="123"/>
    </row>
    <row r="54" spans="1:12" ht="18.75" x14ac:dyDescent="0.3">
      <c r="A54" s="127" t="s">
        <v>1</v>
      </c>
      <c r="B54" s="128" t="s">
        <v>75</v>
      </c>
    </row>
    <row r="55" spans="1:12" ht="18.75" x14ac:dyDescent="0.3">
      <c r="A55" s="53" t="s">
        <v>76</v>
      </c>
      <c r="B55" s="129" t="str">
        <f>B21</f>
        <v>Each tablet contains: Ciprofloxacin 500 mg</v>
      </c>
    </row>
    <row r="56" spans="1:12" ht="26.25" customHeight="1" x14ac:dyDescent="0.4">
      <c r="A56" s="130" t="s">
        <v>77</v>
      </c>
      <c r="B56" s="131">
        <v>500</v>
      </c>
      <c r="C56" s="53" t="str">
        <f>B20</f>
        <v>CIPROFLOXACIN</v>
      </c>
      <c r="H56" s="132"/>
    </row>
    <row r="57" spans="1:12" ht="18.75" x14ac:dyDescent="0.3">
      <c r="A57" s="129" t="s">
        <v>78</v>
      </c>
      <c r="B57" s="133">
        <f>Uniformity!C46</f>
        <v>894.09499999999991</v>
      </c>
      <c r="H57" s="132"/>
    </row>
    <row r="58" spans="1:12" ht="19.5" customHeight="1" x14ac:dyDescent="0.3">
      <c r="H58" s="132"/>
    </row>
    <row r="59" spans="1:12" s="14" customFormat="1" ht="27" customHeight="1" x14ac:dyDescent="0.4">
      <c r="A59" s="75" t="s">
        <v>79</v>
      </c>
      <c r="B59" s="76">
        <v>100</v>
      </c>
      <c r="C59" s="53"/>
      <c r="D59" s="134" t="s">
        <v>80</v>
      </c>
      <c r="E59" s="135" t="s">
        <v>52</v>
      </c>
      <c r="F59" s="135" t="s">
        <v>53</v>
      </c>
      <c r="G59" s="135" t="s">
        <v>81</v>
      </c>
      <c r="H59" s="79" t="s">
        <v>82</v>
      </c>
      <c r="L59" s="66"/>
    </row>
    <row r="60" spans="1:12" s="14" customFormat="1" ht="26.25" customHeight="1" x14ac:dyDescent="0.4">
      <c r="A60" s="77" t="s">
        <v>83</v>
      </c>
      <c r="B60" s="78">
        <v>4</v>
      </c>
      <c r="C60" s="303" t="s">
        <v>84</v>
      </c>
      <c r="D60" s="306">
        <v>168.2</v>
      </c>
      <c r="E60" s="136">
        <v>1</v>
      </c>
      <c r="F60" s="279"/>
      <c r="G60" s="137" t="str">
        <f>IF(ISBLANK(F60),"-",(F60/$D$50*$D$47*$B$68)*($B$57/$D$60))</f>
        <v>-</v>
      </c>
      <c r="H60" s="138" t="str">
        <f t="shared" ref="H60:H71" si="0">IF(ISBLANK(F60),"-",G60/$B$56)</f>
        <v>-</v>
      </c>
      <c r="L60" s="66"/>
    </row>
    <row r="61" spans="1:12" s="14" customFormat="1" ht="26.25" customHeight="1" x14ac:dyDescent="0.4">
      <c r="A61" s="77" t="s">
        <v>85</v>
      </c>
      <c r="B61" s="78">
        <v>25</v>
      </c>
      <c r="C61" s="304"/>
      <c r="D61" s="307"/>
      <c r="E61" s="139">
        <v>2</v>
      </c>
      <c r="F61" s="277"/>
      <c r="G61" s="140" t="str">
        <f>IF(ISBLANK(F61),"-",(F61/$D$50*$D$47*$B$68)*($B$57/$D$60))</f>
        <v>-</v>
      </c>
      <c r="H61" s="141" t="str">
        <f t="shared" si="0"/>
        <v>-</v>
      </c>
      <c r="L61" s="66"/>
    </row>
    <row r="62" spans="1:12" s="14" customFormat="1" ht="26.25" customHeight="1" x14ac:dyDescent="0.4">
      <c r="A62" s="77" t="s">
        <v>86</v>
      </c>
      <c r="B62" s="78">
        <v>1</v>
      </c>
      <c r="C62" s="304"/>
      <c r="D62" s="307"/>
      <c r="E62" s="139">
        <v>3</v>
      </c>
      <c r="F62" s="280">
        <v>38286603</v>
      </c>
      <c r="G62" s="140">
        <f>IF(ISBLANK(F62),"-",(F62/$D$50*$D$47*$B$68)*($B$57/$D$60))</f>
        <v>509.65047565792531</v>
      </c>
      <c r="H62" s="141">
        <f t="shared" si="0"/>
        <v>1.0193009513158506</v>
      </c>
      <c r="L62" s="66"/>
    </row>
    <row r="63" spans="1:12" ht="27" customHeight="1" x14ac:dyDescent="0.4">
      <c r="A63" s="77" t="s">
        <v>87</v>
      </c>
      <c r="B63" s="78">
        <v>1</v>
      </c>
      <c r="C63" s="314"/>
      <c r="D63" s="308"/>
      <c r="E63" s="142">
        <v>4</v>
      </c>
      <c r="F63" s="281"/>
      <c r="G63" s="140" t="str">
        <f>IF(ISBLANK(F63),"-",(F63/$D$50*$D$47*$B$68)*($B$57/$D$60))</f>
        <v>-</v>
      </c>
      <c r="H63" s="141" t="str">
        <f t="shared" si="0"/>
        <v>-</v>
      </c>
    </row>
    <row r="64" spans="1:12" ht="26.25" customHeight="1" x14ac:dyDescent="0.4">
      <c r="A64" s="77" t="s">
        <v>88</v>
      </c>
      <c r="B64" s="78">
        <v>1</v>
      </c>
      <c r="C64" s="303" t="s">
        <v>89</v>
      </c>
      <c r="D64" s="306">
        <v>163.53</v>
      </c>
      <c r="E64" s="136">
        <v>1</v>
      </c>
      <c r="F64" s="279">
        <v>35956784</v>
      </c>
      <c r="G64" s="143">
        <f>IF(ISBLANK(F64),"-",(F64/$D$50*$D$47*$B$68)*($B$57/$D$64))</f>
        <v>492.3058480545472</v>
      </c>
      <c r="H64" s="144">
        <f>IF(ISBLANK(F64),"-",G64/$B$56)</f>
        <v>0.98461169610909438</v>
      </c>
    </row>
    <row r="65" spans="1:8" ht="26.25" customHeight="1" x14ac:dyDescent="0.4">
      <c r="A65" s="77" t="s">
        <v>90</v>
      </c>
      <c r="B65" s="78">
        <v>1</v>
      </c>
      <c r="C65" s="304"/>
      <c r="D65" s="307"/>
      <c r="E65" s="139">
        <v>2</v>
      </c>
      <c r="F65" s="277">
        <v>36155342</v>
      </c>
      <c r="G65" s="145">
        <f>IF(ISBLANK(F65),"-",(F65/$D$50*$D$47*$B$68)*($B$57/$D$64))</f>
        <v>495.0244244594341</v>
      </c>
      <c r="H65" s="146">
        <f t="shared" si="0"/>
        <v>0.99004884891886824</v>
      </c>
    </row>
    <row r="66" spans="1:8" ht="26.25" customHeight="1" x14ac:dyDescent="0.4">
      <c r="A66" s="77" t="s">
        <v>91</v>
      </c>
      <c r="B66" s="78">
        <v>1</v>
      </c>
      <c r="C66" s="304"/>
      <c r="D66" s="307"/>
      <c r="E66" s="139">
        <v>3</v>
      </c>
      <c r="F66" s="277">
        <v>36277017</v>
      </c>
      <c r="G66" s="145">
        <f>IF(ISBLANK(F66),"-",(F66/$D$50*$D$47*$B$68)*($B$57/$D$64))</f>
        <v>496.69034970074699</v>
      </c>
      <c r="H66" s="146">
        <f t="shared" si="0"/>
        <v>0.99338069940149398</v>
      </c>
    </row>
    <row r="67" spans="1:8" ht="27" customHeight="1" x14ac:dyDescent="0.4">
      <c r="A67" s="77" t="s">
        <v>92</v>
      </c>
      <c r="B67" s="78">
        <v>1</v>
      </c>
      <c r="C67" s="314"/>
      <c r="D67" s="308"/>
      <c r="E67" s="142">
        <v>4</v>
      </c>
      <c r="F67" s="281"/>
      <c r="G67" s="147" t="str">
        <f>IF(ISBLANK(F67),"-",(F67/$D$50*$D$47*$B$68)*($B$57/$D$64))</f>
        <v>-</v>
      </c>
      <c r="H67" s="148" t="str">
        <f t="shared" si="0"/>
        <v>-</v>
      </c>
    </row>
    <row r="68" spans="1:8" ht="26.25" customHeight="1" x14ac:dyDescent="0.4">
      <c r="A68" s="77" t="s">
        <v>93</v>
      </c>
      <c r="B68" s="149">
        <f>(B67/B66)*(B65/B64)*(B63/B62)*(B61/B60)*B59</f>
        <v>625</v>
      </c>
      <c r="C68" s="303" t="s">
        <v>94</v>
      </c>
      <c r="D68" s="306">
        <v>170.22</v>
      </c>
      <c r="E68" s="136">
        <v>1</v>
      </c>
      <c r="F68" s="279">
        <v>38053028</v>
      </c>
      <c r="G68" s="143">
        <f>IF(ISBLANK(F68),"-",(F68/$D$50*$D$47*$B$68)*($B$57/$D$68))</f>
        <v>500.53012921564471</v>
      </c>
      <c r="H68" s="141">
        <f>IF(ISBLANK(F68),"-",G68/$B$56)</f>
        <v>1.0010602584312893</v>
      </c>
    </row>
    <row r="69" spans="1:8" ht="27" customHeight="1" x14ac:dyDescent="0.4">
      <c r="A69" s="125" t="s">
        <v>95</v>
      </c>
      <c r="B69" s="150">
        <f>(D47*B68)/B56*B57</f>
        <v>223.52374999999998</v>
      </c>
      <c r="C69" s="304"/>
      <c r="D69" s="307"/>
      <c r="E69" s="139">
        <v>2</v>
      </c>
      <c r="F69" s="277">
        <v>38198305</v>
      </c>
      <c r="G69" s="145">
        <f>IF(ISBLANK(F69),"-",(F69/$D$50*$D$47*$B$68)*($B$57/$D$68))</f>
        <v>502.44102880508245</v>
      </c>
      <c r="H69" s="141">
        <f t="shared" si="0"/>
        <v>1.0048820576101649</v>
      </c>
    </row>
    <row r="70" spans="1:8" ht="26.25" customHeight="1" x14ac:dyDescent="0.4">
      <c r="A70" s="309" t="s">
        <v>68</v>
      </c>
      <c r="B70" s="310"/>
      <c r="C70" s="304"/>
      <c r="D70" s="307"/>
      <c r="E70" s="139">
        <v>3</v>
      </c>
      <c r="F70" s="277">
        <v>38387162</v>
      </c>
      <c r="G70" s="145">
        <f>IF(ISBLANK(F70),"-",(F70/$D$50*$D$47*$B$68)*($B$57/$D$68))</f>
        <v>504.92515749553201</v>
      </c>
      <c r="H70" s="141">
        <f t="shared" si="0"/>
        <v>1.009850314991064</v>
      </c>
    </row>
    <row r="71" spans="1:8" ht="27" customHeight="1" x14ac:dyDescent="0.4">
      <c r="A71" s="311"/>
      <c r="B71" s="312"/>
      <c r="C71" s="305"/>
      <c r="D71" s="308"/>
      <c r="E71" s="142">
        <v>4</v>
      </c>
      <c r="F71" s="281"/>
      <c r="G71" s="147" t="str">
        <f>IF(ISBLANK(F71),"-",(F71/$D$50*$D$47*$B$68)*($B$57/$D$68))</f>
        <v>-</v>
      </c>
      <c r="H71" s="151" t="str">
        <f t="shared" si="0"/>
        <v>-</v>
      </c>
    </row>
    <row r="72" spans="1:8" ht="26.25" customHeight="1" x14ac:dyDescent="0.4">
      <c r="A72" s="152"/>
      <c r="B72" s="152"/>
      <c r="C72" s="152"/>
      <c r="D72" s="152"/>
      <c r="E72" s="152"/>
      <c r="F72" s="153"/>
      <c r="G72" s="154" t="s">
        <v>61</v>
      </c>
      <c r="H72" s="155">
        <f>AVERAGE(H60:H71)</f>
        <v>1.0004478323968322</v>
      </c>
    </row>
    <row r="73" spans="1:8" ht="26.25" customHeight="1" x14ac:dyDescent="0.4">
      <c r="C73" s="152"/>
      <c r="D73" s="152"/>
      <c r="E73" s="152"/>
      <c r="F73" s="153"/>
      <c r="G73" s="156" t="s">
        <v>74</v>
      </c>
      <c r="H73" s="157">
        <f>STDEV(H60:H71)/H72</f>
        <v>1.2055216452135075E-2</v>
      </c>
    </row>
    <row r="74" spans="1:8" ht="27" customHeight="1" x14ac:dyDescent="0.4">
      <c r="A74" s="152"/>
      <c r="B74" s="152"/>
      <c r="C74" s="153"/>
      <c r="D74" s="153"/>
      <c r="E74" s="158"/>
      <c r="F74" s="153"/>
      <c r="G74" s="159" t="s">
        <v>19</v>
      </c>
      <c r="H74" s="160">
        <f>COUNT(H60:H71)</f>
        <v>7</v>
      </c>
    </row>
    <row r="76" spans="1:8" ht="26.25" customHeight="1" x14ac:dyDescent="0.4">
      <c r="A76" s="62" t="s">
        <v>96</v>
      </c>
      <c r="B76" s="161" t="s">
        <v>97</v>
      </c>
      <c r="C76" s="290" t="str">
        <f>B20</f>
        <v>CIPROFLOXACIN</v>
      </c>
      <c r="D76" s="290"/>
      <c r="E76" s="162" t="s">
        <v>98</v>
      </c>
      <c r="F76" s="162"/>
      <c r="G76" s="163">
        <f>H72</f>
        <v>1.0004478323968322</v>
      </c>
      <c r="H76" s="164"/>
    </row>
    <row r="77" spans="1:8" ht="18.75" x14ac:dyDescent="0.3">
      <c r="A77" s="61" t="s">
        <v>99</v>
      </c>
      <c r="B77" s="61" t="s">
        <v>100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313" t="str">
        <f>B26</f>
        <v>Ciprofloxacin Hydrochloride</v>
      </c>
      <c r="C79" s="313"/>
    </row>
    <row r="80" spans="1:8" ht="26.25" customHeight="1" x14ac:dyDescent="0.4">
      <c r="A80" s="63" t="s">
        <v>38</v>
      </c>
      <c r="B80" s="313" t="str">
        <f>B27</f>
        <v>WRS C28-1</v>
      </c>
      <c r="C80" s="313"/>
    </row>
    <row r="81" spans="1:12" ht="27" customHeight="1" x14ac:dyDescent="0.4">
      <c r="A81" s="63" t="s">
        <v>6</v>
      </c>
      <c r="B81" s="165">
        <f>B28</f>
        <v>99.6</v>
      </c>
    </row>
    <row r="82" spans="1:12" s="14" customFormat="1" ht="27" customHeight="1" x14ac:dyDescent="0.4">
      <c r="A82" s="63" t="s">
        <v>39</v>
      </c>
      <c r="B82" s="65">
        <v>0</v>
      </c>
      <c r="C82" s="292" t="s">
        <v>40</v>
      </c>
      <c r="D82" s="293"/>
      <c r="E82" s="293"/>
      <c r="F82" s="293"/>
      <c r="G82" s="294"/>
      <c r="I82" s="66"/>
      <c r="J82" s="66"/>
      <c r="K82" s="66"/>
      <c r="L82" s="66"/>
    </row>
    <row r="83" spans="1:12" s="14" customFormat="1" ht="19.5" customHeight="1" x14ac:dyDescent="0.3">
      <c r="A83" s="63" t="s">
        <v>41</v>
      </c>
      <c r="B83" s="67">
        <f>B81-B82</f>
        <v>99.6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42</v>
      </c>
      <c r="B84" s="275">
        <v>331.34</v>
      </c>
      <c r="C84" s="295" t="s">
        <v>101</v>
      </c>
      <c r="D84" s="296"/>
      <c r="E84" s="296"/>
      <c r="F84" s="296"/>
      <c r="G84" s="296"/>
      <c r="H84" s="297"/>
      <c r="I84" s="66"/>
      <c r="J84" s="66"/>
      <c r="K84" s="66"/>
      <c r="L84" s="66"/>
    </row>
    <row r="85" spans="1:12" s="14" customFormat="1" ht="27" customHeight="1" x14ac:dyDescent="0.4">
      <c r="A85" s="63" t="s">
        <v>44</v>
      </c>
      <c r="B85" s="275">
        <v>367.81</v>
      </c>
      <c r="C85" s="295" t="s">
        <v>102</v>
      </c>
      <c r="D85" s="296"/>
      <c r="E85" s="296"/>
      <c r="F85" s="296"/>
      <c r="G85" s="296"/>
      <c r="H85" s="297"/>
      <c r="I85" s="66"/>
      <c r="J85" s="66"/>
      <c r="K85" s="66"/>
      <c r="L85" s="66"/>
    </row>
    <row r="86" spans="1:12" s="14" customFormat="1" ht="18.75" x14ac:dyDescent="0.3">
      <c r="A86" s="63"/>
      <c r="B86" s="72"/>
      <c r="C86" s="73"/>
      <c r="D86" s="73"/>
      <c r="E86" s="73"/>
      <c r="F86" s="73"/>
      <c r="G86" s="73"/>
      <c r="H86" s="73"/>
      <c r="I86" s="66"/>
      <c r="J86" s="66"/>
      <c r="K86" s="66"/>
      <c r="L86" s="66"/>
    </row>
    <row r="87" spans="1:12" s="14" customFormat="1" ht="18.75" x14ac:dyDescent="0.3">
      <c r="A87" s="63" t="s">
        <v>46</v>
      </c>
      <c r="B87" s="74">
        <f>B84/B85</f>
        <v>0.90084554525434324</v>
      </c>
      <c r="C87" s="53" t="s">
        <v>47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thickBot="1" x14ac:dyDescent="0.35">
      <c r="A88" s="61"/>
      <c r="B88" s="61"/>
    </row>
    <row r="89" spans="1:12" ht="27" customHeight="1" thickBot="1" x14ac:dyDescent="0.45">
      <c r="A89" s="75" t="s">
        <v>48</v>
      </c>
      <c r="B89" s="76">
        <v>50</v>
      </c>
      <c r="D89" s="166" t="s">
        <v>49</v>
      </c>
      <c r="E89" s="167"/>
      <c r="F89" s="298" t="s">
        <v>50</v>
      </c>
      <c r="G89" s="299"/>
    </row>
    <row r="90" spans="1:12" ht="27" customHeight="1" thickBot="1" x14ac:dyDescent="0.45">
      <c r="A90" s="77" t="s">
        <v>51</v>
      </c>
      <c r="B90" s="78">
        <v>1</v>
      </c>
      <c r="C90" s="168" t="s">
        <v>52</v>
      </c>
      <c r="D90" s="80" t="s">
        <v>53</v>
      </c>
      <c r="E90" s="81" t="s">
        <v>54</v>
      </c>
      <c r="F90" s="80" t="s">
        <v>53</v>
      </c>
      <c r="G90" s="169" t="s">
        <v>54</v>
      </c>
      <c r="I90" s="83" t="s">
        <v>55</v>
      </c>
    </row>
    <row r="91" spans="1:12" ht="26.25" customHeight="1" x14ac:dyDescent="0.4">
      <c r="A91" s="77" t="s">
        <v>56</v>
      </c>
      <c r="B91" s="78">
        <v>100</v>
      </c>
      <c r="C91" s="170">
        <v>1</v>
      </c>
      <c r="D91" s="85">
        <v>0.54900000000000004</v>
      </c>
      <c r="E91" s="86">
        <f>IF(ISBLANK(D91),"-",$D$101/$D$98*D91)</f>
        <v>0.66705362148034464</v>
      </c>
      <c r="F91" s="85">
        <v>0.54800000000000004</v>
      </c>
      <c r="G91" s="87">
        <f>IF(ISBLANK(F91),"-",$D$101/$F$98*F91)</f>
        <v>0.66898924333854171</v>
      </c>
      <c r="I91" s="88"/>
    </row>
    <row r="92" spans="1:12" ht="26.25" customHeight="1" x14ac:dyDescent="0.4">
      <c r="A92" s="77" t="s">
        <v>57</v>
      </c>
      <c r="B92" s="78">
        <v>1</v>
      </c>
      <c r="C92" s="153">
        <v>2</v>
      </c>
      <c r="D92" s="90">
        <v>0.55200000000000005</v>
      </c>
      <c r="E92" s="91">
        <f>IF(ISBLANK(D92),"-",$D$101/$D$98*D92)</f>
        <v>0.67069872323706781</v>
      </c>
      <c r="F92" s="90">
        <v>0.54400000000000004</v>
      </c>
      <c r="G92" s="92">
        <f>IF(ISBLANK(F92),"-",$D$101/$F$98*F92)</f>
        <v>0.6641061101754866</v>
      </c>
      <c r="I92" s="300">
        <f>ABS((F96/D96*D95)-F95)/D95</f>
        <v>1.6425109761899999E-3</v>
      </c>
    </row>
    <row r="93" spans="1:12" ht="26.25" customHeight="1" x14ac:dyDescent="0.4">
      <c r="A93" s="77" t="s">
        <v>58</v>
      </c>
      <c r="B93" s="78">
        <v>1</v>
      </c>
      <c r="C93" s="153">
        <v>3</v>
      </c>
      <c r="D93" s="90">
        <v>0.55400000000000005</v>
      </c>
      <c r="E93" s="91">
        <f>IF(ISBLANK(D93),"-",$D$101/$D$98*D93)</f>
        <v>0.67312879107488333</v>
      </c>
      <c r="F93" s="90">
        <v>0.54900000000000004</v>
      </c>
      <c r="G93" s="92">
        <f>IF(ISBLANK(F93),"-",$D$101/$F$98*F93)</f>
        <v>0.67021002662930551</v>
      </c>
      <c r="I93" s="300"/>
    </row>
    <row r="94" spans="1:12" ht="27" customHeight="1" x14ac:dyDescent="0.4">
      <c r="A94" s="77" t="s">
        <v>59</v>
      </c>
      <c r="B94" s="78">
        <v>1</v>
      </c>
      <c r="C94" s="171">
        <v>4</v>
      </c>
      <c r="D94" s="95">
        <v>0.54900000000000004</v>
      </c>
      <c r="E94" s="96">
        <f>IF(ISBLANK(D94),"-",$D$101/$D$98*D94)</f>
        <v>0.66705362148034464</v>
      </c>
      <c r="F94" s="172">
        <v>0.54900000000000004</v>
      </c>
      <c r="G94" s="97">
        <f>IF(ISBLANK(F94),"-",$D$101/$F$98*F94)</f>
        <v>0.67021002662930551</v>
      </c>
      <c r="I94" s="98"/>
    </row>
    <row r="95" spans="1:12" ht="27" customHeight="1" x14ac:dyDescent="0.4">
      <c r="A95" s="77" t="s">
        <v>60</v>
      </c>
      <c r="B95" s="78">
        <v>1</v>
      </c>
      <c r="C95" s="173" t="s">
        <v>61</v>
      </c>
      <c r="D95" s="174">
        <f>AVERAGE(D91:D94)</f>
        <v>0.55100000000000005</v>
      </c>
      <c r="E95" s="101">
        <f>AVERAGE(E91:E94)</f>
        <v>0.66948368931816016</v>
      </c>
      <c r="F95" s="175">
        <f>AVERAGE(F91:F94)</f>
        <v>0.54749999999999999</v>
      </c>
      <c r="G95" s="176">
        <f>AVERAGE(G91:G94)</f>
        <v>0.6683788516931598</v>
      </c>
    </row>
    <row r="96" spans="1:12" ht="26.25" customHeight="1" x14ac:dyDescent="0.4">
      <c r="A96" s="77" t="s">
        <v>62</v>
      </c>
      <c r="B96" s="64">
        <v>1</v>
      </c>
      <c r="C96" s="177" t="s">
        <v>103</v>
      </c>
      <c r="D96" s="178">
        <v>25.48</v>
      </c>
      <c r="E96" s="93"/>
      <c r="F96" s="105">
        <v>25.36</v>
      </c>
    </row>
    <row r="97" spans="1:10" ht="26.25" customHeight="1" x14ac:dyDescent="0.4">
      <c r="A97" s="77" t="s">
        <v>64</v>
      </c>
      <c r="B97" s="64">
        <v>1</v>
      </c>
      <c r="C97" s="179" t="s">
        <v>104</v>
      </c>
      <c r="D97" s="180">
        <f>D96*$B$87</f>
        <v>22.953544493080667</v>
      </c>
      <c r="E97" s="108"/>
      <c r="F97" s="107">
        <f>F96*$B$87</f>
        <v>22.845443027650145</v>
      </c>
    </row>
    <row r="98" spans="1:10" ht="19.5" customHeight="1" x14ac:dyDescent="0.3">
      <c r="A98" s="77" t="s">
        <v>66</v>
      </c>
      <c r="B98" s="181">
        <f>(B97/B96)*(B95/B94)*(B93/B92)*(B91/B90)*B89</f>
        <v>5000</v>
      </c>
      <c r="C98" s="179" t="s">
        <v>105</v>
      </c>
      <c r="D98" s="182">
        <f>D97*$B$83/100</f>
        <v>22.861730315108343</v>
      </c>
      <c r="E98" s="111"/>
      <c r="F98" s="110">
        <f>F97*$B$83/100</f>
        <v>22.75406125553954</v>
      </c>
    </row>
    <row r="99" spans="1:10" ht="19.5" customHeight="1" x14ac:dyDescent="0.3">
      <c r="A99" s="286" t="s">
        <v>68</v>
      </c>
      <c r="B99" s="301"/>
      <c r="C99" s="179" t="s">
        <v>106</v>
      </c>
      <c r="D99" s="183">
        <f>D98/$B$98</f>
        <v>4.5723460630216683E-3</v>
      </c>
      <c r="E99" s="111"/>
      <c r="F99" s="114">
        <f>F98/$B$98</f>
        <v>4.5508122511079083E-3</v>
      </c>
      <c r="G99" s="184"/>
      <c r="H99" s="103"/>
    </row>
    <row r="100" spans="1:10" ht="19.5" customHeight="1" x14ac:dyDescent="0.3">
      <c r="A100" s="288"/>
      <c r="B100" s="302"/>
      <c r="C100" s="179" t="s">
        <v>70</v>
      </c>
      <c r="D100" s="185">
        <f>$B$56/$B$116</f>
        <v>5.5555555555555558E-3</v>
      </c>
      <c r="F100" s="119"/>
      <c r="G100" s="186"/>
      <c r="H100" s="103"/>
    </row>
    <row r="101" spans="1:10" ht="18.75" x14ac:dyDescent="0.3">
      <c r="C101" s="179" t="s">
        <v>71</v>
      </c>
      <c r="D101" s="180">
        <f>D100*$B$98</f>
        <v>27.777777777777779</v>
      </c>
      <c r="F101" s="119"/>
      <c r="G101" s="184"/>
      <c r="H101" s="103"/>
    </row>
    <row r="102" spans="1:10" ht="19.5" customHeight="1" x14ac:dyDescent="0.3">
      <c r="C102" s="187" t="s">
        <v>72</v>
      </c>
      <c r="D102" s="188">
        <f>D101/B34</f>
        <v>30.835227996753925</v>
      </c>
      <c r="F102" s="123"/>
      <c r="G102" s="184"/>
      <c r="H102" s="103"/>
      <c r="J102" s="189"/>
    </row>
    <row r="103" spans="1:10" ht="18.75" x14ac:dyDescent="0.3">
      <c r="C103" s="190" t="s">
        <v>107</v>
      </c>
      <c r="D103" s="191">
        <f>AVERAGE(E91:E94,G91:G94)</f>
        <v>0.66893127050566004</v>
      </c>
      <c r="F103" s="123"/>
      <c r="G103" s="192"/>
      <c r="H103" s="103"/>
      <c r="J103" s="193"/>
    </row>
    <row r="104" spans="1:10" ht="18.75" x14ac:dyDescent="0.3">
      <c r="C104" s="156" t="s">
        <v>74</v>
      </c>
      <c r="D104" s="194">
        <f>STDEV(E91:E94,G91:G94)/D103</f>
        <v>4.1655267172101603E-3</v>
      </c>
      <c r="F104" s="123"/>
      <c r="G104" s="184"/>
      <c r="H104" s="103"/>
      <c r="J104" s="193"/>
    </row>
    <row r="105" spans="1:10" ht="19.5" customHeight="1" x14ac:dyDescent="0.3">
      <c r="C105" s="159" t="s">
        <v>19</v>
      </c>
      <c r="D105" s="195">
        <f>COUNT(E91:E94,G91:G94)</f>
        <v>8</v>
      </c>
      <c r="F105" s="123"/>
      <c r="G105" s="184"/>
      <c r="H105" s="103"/>
      <c r="J105" s="193"/>
    </row>
    <row r="106" spans="1:10" ht="19.5" customHeight="1" x14ac:dyDescent="0.3">
      <c r="A106" s="127"/>
      <c r="B106" s="127"/>
      <c r="C106" s="127"/>
      <c r="D106" s="127"/>
      <c r="E106" s="127"/>
    </row>
    <row r="107" spans="1:10" ht="26.25" customHeight="1" x14ac:dyDescent="0.4">
      <c r="A107" s="75" t="s">
        <v>108</v>
      </c>
      <c r="B107" s="76">
        <v>900</v>
      </c>
      <c r="C107" s="196" t="s">
        <v>109</v>
      </c>
      <c r="D107" s="197" t="s">
        <v>53</v>
      </c>
      <c r="E107" s="198" t="s">
        <v>110</v>
      </c>
      <c r="F107" s="199" t="s">
        <v>111</v>
      </c>
    </row>
    <row r="108" spans="1:10" ht="26.25" customHeight="1" x14ac:dyDescent="0.4">
      <c r="A108" s="77" t="s">
        <v>112</v>
      </c>
      <c r="B108" s="78">
        <v>1</v>
      </c>
      <c r="C108" s="200">
        <v>1</v>
      </c>
      <c r="D108" s="282">
        <v>0.65100000000000002</v>
      </c>
      <c r="E108" s="201">
        <f t="shared" ref="E108:E113" si="1">IF(ISBLANK(D108),"-",D108/$D$103*$D$100*$B$116)</f>
        <v>486.59707559185762</v>
      </c>
      <c r="F108" s="202">
        <f t="shared" ref="F108:F112" si="2">IF(ISBLANK(D108), "-", E108/$B$56)</f>
        <v>0.97319415118371522</v>
      </c>
    </row>
    <row r="109" spans="1:10" ht="26.25" customHeight="1" x14ac:dyDescent="0.4">
      <c r="A109" s="77" t="s">
        <v>85</v>
      </c>
      <c r="B109" s="78">
        <v>100</v>
      </c>
      <c r="C109" s="200">
        <v>2</v>
      </c>
      <c r="D109" s="282">
        <v>0.69499999999999995</v>
      </c>
      <c r="E109" s="203">
        <f t="shared" si="1"/>
        <v>519.4853571986805</v>
      </c>
      <c r="F109" s="204">
        <f t="shared" si="2"/>
        <v>1.038970714397361</v>
      </c>
    </row>
    <row r="110" spans="1:10" ht="26.25" customHeight="1" x14ac:dyDescent="0.4">
      <c r="A110" s="77" t="s">
        <v>86</v>
      </c>
      <c r="B110" s="78">
        <v>1</v>
      </c>
      <c r="C110" s="200">
        <v>3</v>
      </c>
      <c r="D110" s="282">
        <v>0.68600000000000005</v>
      </c>
      <c r="E110" s="203">
        <f t="shared" si="1"/>
        <v>512.75820868819414</v>
      </c>
      <c r="F110" s="204">
        <f t="shared" si="2"/>
        <v>1.0255164173763882</v>
      </c>
    </row>
    <row r="111" spans="1:10" ht="26.25" customHeight="1" x14ac:dyDescent="0.4">
      <c r="A111" s="77" t="s">
        <v>87</v>
      </c>
      <c r="B111" s="78">
        <v>1</v>
      </c>
      <c r="C111" s="200">
        <v>4</v>
      </c>
      <c r="D111" s="282">
        <v>0.67700000000000005</v>
      </c>
      <c r="E111" s="203">
        <f t="shared" si="1"/>
        <v>506.03106017770762</v>
      </c>
      <c r="F111" s="204">
        <f t="shared" si="2"/>
        <v>1.0120621203554152</v>
      </c>
    </row>
    <row r="112" spans="1:10" ht="26.25" customHeight="1" x14ac:dyDescent="0.4">
      <c r="A112" s="77" t="s">
        <v>88</v>
      </c>
      <c r="B112" s="78">
        <v>1</v>
      </c>
      <c r="C112" s="200">
        <v>5</v>
      </c>
      <c r="D112" s="282">
        <v>0.61</v>
      </c>
      <c r="E112" s="203">
        <f t="shared" si="1"/>
        <v>455.9511768218635</v>
      </c>
      <c r="F112" s="204">
        <f t="shared" si="2"/>
        <v>0.91190235364372696</v>
      </c>
    </row>
    <row r="113" spans="1:10" ht="26.25" customHeight="1" x14ac:dyDescent="0.4">
      <c r="A113" s="77" t="s">
        <v>90</v>
      </c>
      <c r="B113" s="78">
        <v>1</v>
      </c>
      <c r="C113" s="205">
        <v>6</v>
      </c>
      <c r="D113" s="283">
        <v>0.60599999999999998</v>
      </c>
      <c r="E113" s="206">
        <f t="shared" si="1"/>
        <v>452.96133303942509</v>
      </c>
      <c r="F113" s="207">
        <f>IF(ISBLANK(D113), "-", E113/$B$56)</f>
        <v>0.90592266607885019</v>
      </c>
    </row>
    <row r="114" spans="1:10" ht="26.25" customHeight="1" x14ac:dyDescent="0.4">
      <c r="A114" s="77" t="s">
        <v>91</v>
      </c>
      <c r="B114" s="78">
        <v>1</v>
      </c>
      <c r="C114" s="200"/>
      <c r="D114" s="153"/>
      <c r="E114" s="52"/>
      <c r="F114" s="208"/>
    </row>
    <row r="115" spans="1:10" ht="26.25" customHeight="1" x14ac:dyDescent="0.4">
      <c r="A115" s="77" t="s">
        <v>92</v>
      </c>
      <c r="B115" s="78">
        <v>1</v>
      </c>
      <c r="C115" s="200"/>
      <c r="D115" s="209"/>
      <c r="E115" s="210" t="s">
        <v>61</v>
      </c>
      <c r="F115" s="211">
        <f>AVERAGE(F108:F113)</f>
        <v>0.97792807050590946</v>
      </c>
    </row>
    <row r="116" spans="1:10" ht="27" customHeight="1" x14ac:dyDescent="0.4">
      <c r="A116" s="77" t="s">
        <v>93</v>
      </c>
      <c r="B116" s="109">
        <f>(B115/B114)*(B113/B112)*(B111/B110)*(B109/B108)*B107</f>
        <v>90000</v>
      </c>
      <c r="C116" s="212"/>
      <c r="D116" s="213"/>
      <c r="E116" s="173" t="s">
        <v>74</v>
      </c>
      <c r="F116" s="214">
        <f>STDEV(F108:F113)/F115</f>
        <v>5.9137045493512903E-2</v>
      </c>
      <c r="I116" s="52"/>
    </row>
    <row r="117" spans="1:10" ht="27" customHeight="1" x14ac:dyDescent="0.4">
      <c r="A117" s="286" t="s">
        <v>68</v>
      </c>
      <c r="B117" s="287"/>
      <c r="C117" s="215"/>
      <c r="D117" s="216"/>
      <c r="E117" s="217" t="s">
        <v>19</v>
      </c>
      <c r="F117" s="218">
        <f>COUNT(F108:F113)</f>
        <v>6</v>
      </c>
      <c r="I117" s="52"/>
      <c r="J117" s="193"/>
    </row>
    <row r="118" spans="1:10" ht="19.5" customHeight="1" x14ac:dyDescent="0.3">
      <c r="A118" s="288"/>
      <c r="B118" s="289"/>
      <c r="C118" s="52"/>
      <c r="D118" s="52"/>
      <c r="E118" s="52"/>
      <c r="F118" s="153"/>
      <c r="G118" s="52"/>
      <c r="H118" s="52"/>
      <c r="I118" s="52"/>
    </row>
    <row r="119" spans="1:10" ht="18.75" x14ac:dyDescent="0.3">
      <c r="A119" s="227"/>
      <c r="B119" s="73"/>
      <c r="C119" s="52"/>
      <c r="D119" s="52"/>
      <c r="E119" s="52"/>
      <c r="F119" s="153"/>
      <c r="G119" s="52"/>
      <c r="H119" s="52"/>
      <c r="I119" s="52"/>
    </row>
    <row r="120" spans="1:10" ht="26.25" customHeight="1" x14ac:dyDescent="0.4">
      <c r="A120" s="62" t="s">
        <v>96</v>
      </c>
      <c r="B120" s="161" t="s">
        <v>113</v>
      </c>
      <c r="C120" s="290" t="str">
        <f>B20</f>
        <v>CIPROFLOXACIN</v>
      </c>
      <c r="D120" s="290"/>
      <c r="E120" s="162" t="s">
        <v>114</v>
      </c>
      <c r="F120" s="162"/>
      <c r="G120" s="163">
        <f>F115</f>
        <v>0.97792807050590946</v>
      </c>
      <c r="H120" s="52"/>
      <c r="I120" s="52"/>
    </row>
    <row r="121" spans="1:10" ht="19.5" customHeight="1" x14ac:dyDescent="0.3">
      <c r="A121" s="219"/>
      <c r="B121" s="219"/>
      <c r="C121" s="220"/>
      <c r="D121" s="220"/>
      <c r="E121" s="220"/>
      <c r="F121" s="220"/>
      <c r="G121" s="220"/>
      <c r="H121" s="220"/>
    </row>
    <row r="122" spans="1:10" ht="18.75" x14ac:dyDescent="0.3">
      <c r="B122" s="291" t="s">
        <v>25</v>
      </c>
      <c r="C122" s="291"/>
      <c r="E122" s="168" t="s">
        <v>26</v>
      </c>
      <c r="F122" s="221"/>
      <c r="G122" s="291" t="s">
        <v>27</v>
      </c>
      <c r="H122" s="291"/>
    </row>
    <row r="123" spans="1:10" ht="44.25" customHeight="1" x14ac:dyDescent="0.3">
      <c r="A123" s="222" t="s">
        <v>28</v>
      </c>
      <c r="B123" s="223"/>
      <c r="C123" s="223"/>
      <c r="E123" s="223"/>
      <c r="F123" s="52"/>
      <c r="G123" s="224"/>
      <c r="H123" s="224"/>
    </row>
    <row r="124" spans="1:10" ht="60" customHeight="1" x14ac:dyDescent="0.3">
      <c r="A124" s="222" t="s">
        <v>29</v>
      </c>
      <c r="B124" s="225"/>
      <c r="C124" s="225"/>
      <c r="E124" s="225"/>
      <c r="F124" s="52"/>
      <c r="G124" s="226"/>
      <c r="H124" s="226"/>
    </row>
    <row r="125" spans="1:10" ht="18.75" x14ac:dyDescent="0.3">
      <c r="A125" s="152"/>
      <c r="B125" s="152"/>
      <c r="C125" s="153"/>
      <c r="D125" s="153"/>
      <c r="E125" s="153"/>
      <c r="F125" s="158"/>
      <c r="G125" s="153"/>
      <c r="H125" s="153"/>
      <c r="I125" s="52"/>
    </row>
    <row r="126" spans="1:10" ht="18.75" x14ac:dyDescent="0.3">
      <c r="A126" s="152"/>
      <c r="B126" s="152"/>
      <c r="C126" s="153"/>
      <c r="D126" s="153"/>
      <c r="E126" s="153"/>
      <c r="F126" s="158"/>
      <c r="G126" s="153"/>
      <c r="H126" s="153"/>
      <c r="I126" s="52"/>
    </row>
    <row r="127" spans="1:10" ht="18.75" x14ac:dyDescent="0.3">
      <c r="A127" s="152"/>
      <c r="B127" s="152"/>
      <c r="C127" s="153"/>
      <c r="D127" s="153"/>
      <c r="E127" s="153"/>
      <c r="F127" s="158"/>
      <c r="G127" s="153"/>
      <c r="H127" s="153"/>
      <c r="I127" s="52"/>
    </row>
    <row r="128" spans="1:10" ht="18.75" x14ac:dyDescent="0.3">
      <c r="A128" s="152"/>
      <c r="B128" s="152"/>
      <c r="C128" s="153"/>
      <c r="D128" s="153"/>
      <c r="E128" s="153"/>
      <c r="F128" s="158"/>
      <c r="G128" s="153"/>
      <c r="H128" s="153"/>
      <c r="I128" s="52"/>
    </row>
    <row r="129" spans="1:9" ht="18.75" x14ac:dyDescent="0.3">
      <c r="A129" s="152"/>
      <c r="B129" s="152"/>
      <c r="C129" s="153"/>
      <c r="D129" s="153"/>
      <c r="E129" s="153"/>
      <c r="F129" s="158"/>
      <c r="G129" s="153"/>
      <c r="H129" s="153"/>
      <c r="I129" s="52"/>
    </row>
    <row r="130" spans="1:9" ht="18.75" x14ac:dyDescent="0.3">
      <c r="A130" s="152"/>
      <c r="B130" s="152"/>
      <c r="C130" s="153"/>
      <c r="D130" s="153"/>
      <c r="E130" s="153"/>
      <c r="F130" s="158"/>
      <c r="G130" s="153"/>
      <c r="H130" s="153"/>
      <c r="I130" s="52"/>
    </row>
    <row r="131" spans="1:9" ht="18.75" x14ac:dyDescent="0.3">
      <c r="A131" s="152"/>
      <c r="B131" s="152"/>
      <c r="C131" s="153"/>
      <c r="D131" s="153"/>
      <c r="E131" s="153"/>
      <c r="F131" s="158"/>
      <c r="G131" s="153"/>
      <c r="H131" s="153"/>
      <c r="I131" s="52"/>
    </row>
    <row r="132" spans="1:9" ht="18.75" x14ac:dyDescent="0.3">
      <c r="A132" s="152"/>
      <c r="B132" s="152"/>
      <c r="C132" s="153"/>
      <c r="D132" s="153"/>
      <c r="E132" s="153"/>
      <c r="F132" s="158"/>
      <c r="G132" s="153"/>
      <c r="H132" s="153"/>
      <c r="I132" s="52"/>
    </row>
    <row r="133" spans="1:9" ht="18.75" x14ac:dyDescent="0.3">
      <c r="A133" s="152"/>
      <c r="B133" s="152"/>
      <c r="C133" s="153"/>
      <c r="D133" s="153"/>
      <c r="E133" s="153"/>
      <c r="F133" s="158"/>
      <c r="G133" s="153"/>
      <c r="H133" s="153"/>
      <c r="I133" s="52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I39:I40"/>
    <mergeCell ref="A46:B47"/>
    <mergeCell ref="C60:C63"/>
    <mergeCell ref="D60:D63"/>
    <mergeCell ref="C64:C67"/>
    <mergeCell ref="D64:D67"/>
    <mergeCell ref="I92:I93"/>
    <mergeCell ref="A99:B100"/>
    <mergeCell ref="C68:C71"/>
    <mergeCell ref="D68:D71"/>
    <mergeCell ref="A70:B71"/>
    <mergeCell ref="C76:D76"/>
    <mergeCell ref="B79:C79"/>
    <mergeCell ref="B80:C80"/>
    <mergeCell ref="A117:B118"/>
    <mergeCell ref="C120:D120"/>
    <mergeCell ref="B122:C122"/>
    <mergeCell ref="G122:H122"/>
    <mergeCell ref="C82:G82"/>
    <mergeCell ref="C84:H84"/>
    <mergeCell ref="C85:H85"/>
    <mergeCell ref="F89:G89"/>
  </mergeCells>
  <conditionalFormatting sqref="E51">
    <cfRule type="cellIs" dxfId="28" priority="1" operator="greaterThan">
      <formula>0.02</formula>
    </cfRule>
  </conditionalFormatting>
  <conditionalFormatting sqref="D51">
    <cfRule type="cellIs" dxfId="27" priority="2" operator="greaterThan">
      <formula>0.02</formula>
    </cfRule>
  </conditionalFormatting>
  <conditionalFormatting sqref="H73">
    <cfRule type="cellIs" dxfId="26" priority="3" operator="greaterThan">
      <formula>0.02</formula>
    </cfRule>
  </conditionalFormatting>
  <conditionalFormatting sqref="D104">
    <cfRule type="cellIs" dxfId="25" priority="4" operator="greaterThan">
      <formula>0.02</formula>
    </cfRule>
  </conditionalFormatting>
  <conditionalFormatting sqref="I39">
    <cfRule type="cellIs" dxfId="24" priority="5" operator="lessThanOrEqual">
      <formula>0.02</formula>
    </cfRule>
  </conditionalFormatting>
  <conditionalFormatting sqref="I39">
    <cfRule type="cellIs" dxfId="23" priority="6" operator="greaterThan">
      <formula>0.02</formula>
    </cfRule>
  </conditionalFormatting>
  <conditionalFormatting sqref="I92">
    <cfRule type="cellIs" dxfId="22" priority="7" operator="lessThanOrEqual">
      <formula>0.02</formula>
    </cfRule>
  </conditionalFormatting>
  <conditionalFormatting sqref="I92">
    <cfRule type="cellIs" dxfId="21" priority="8" operator="greaterThan">
      <formula>0.02</formula>
    </cfRule>
  </conditionalFormatting>
  <pageMargins left="0.7" right="0.7" top="0.75" bottom="0.75" header="0.3" footer="0.3"/>
  <pageSetup scale="2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ciprofloxacin USP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Joy</cp:lastModifiedBy>
  <cp:lastPrinted>2015-05-11T11:48:12Z</cp:lastPrinted>
  <dcterms:created xsi:type="dcterms:W3CDTF">2005-07-05T10:19:27Z</dcterms:created>
  <dcterms:modified xsi:type="dcterms:W3CDTF">2015-05-11T11:48:38Z</dcterms:modified>
  <cp:category/>
</cp:coreProperties>
</file>