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4"/>
  </bookViews>
  <sheets>
    <sheet name="SST" sheetId="1" r:id="rId1"/>
    <sheet name="SST (2)" sheetId="7" r:id="rId2"/>
    <sheet name="Uniformity" sheetId="8" r:id="rId3"/>
    <sheet name="PARACETAMOL" sheetId="6" r:id="rId4"/>
    <sheet name="ACECLOFENAC" sheetId="5" r:id="rId5"/>
  </sheets>
  <definedNames>
    <definedName name="_xlnm.Print_Area" localSheetId="4">ACECLOFENAC!$A$1:$I$125</definedName>
    <definedName name="_xlnm.Print_Area" localSheetId="2">Uniformity!$A$1:$G$62</definedName>
  </definedNames>
  <calcPr calcId="145621"/>
</workbook>
</file>

<file path=xl/calcChain.xml><?xml version="1.0" encoding="utf-8"?>
<calcChain xmlns="http://schemas.openxmlformats.org/spreadsheetml/2006/main">
  <c r="G105" i="6" l="1"/>
  <c r="B42" i="7"/>
  <c r="B21" i="7"/>
  <c r="B21" i="1"/>
  <c r="B42" i="1"/>
  <c r="H72" i="6"/>
  <c r="G62" i="6"/>
  <c r="G61" i="6"/>
  <c r="G60" i="6"/>
  <c r="D50" i="6"/>
  <c r="G42" i="6"/>
  <c r="E42" i="6"/>
  <c r="B69" i="6"/>
  <c r="C56" i="6"/>
  <c r="C30" i="7"/>
  <c r="B19" i="7"/>
  <c r="E30" i="7" l="1"/>
  <c r="E30" i="1"/>
  <c r="E51" i="7"/>
  <c r="B41" i="7" l="1"/>
  <c r="B39" i="7"/>
  <c r="E51" i="1"/>
  <c r="B41" i="1"/>
  <c r="B40" i="1"/>
  <c r="B39" i="1"/>
  <c r="B57" i="5" l="1"/>
  <c r="B57" i="6"/>
  <c r="C19" i="8"/>
  <c r="D27" i="8"/>
  <c r="D31" i="8"/>
  <c r="D35" i="8"/>
  <c r="D39" i="8"/>
  <c r="D43" i="8"/>
  <c r="C45" i="8"/>
  <c r="C46" i="8"/>
  <c r="D24" i="8" s="1"/>
  <c r="C49" i="8"/>
  <c r="D49" i="8"/>
  <c r="C50" i="8"/>
  <c r="D50" i="8" l="1"/>
  <c r="B49" i="8"/>
  <c r="D42" i="8"/>
  <c r="D38" i="8"/>
  <c r="D34" i="8"/>
  <c r="D30" i="8"/>
  <c r="D26" i="8"/>
  <c r="D41" i="8"/>
  <c r="D37" i="8"/>
  <c r="D33" i="8"/>
  <c r="D29" i="8"/>
  <c r="D25" i="8"/>
  <c r="D40" i="8"/>
  <c r="D36" i="8"/>
  <c r="D32" i="8"/>
  <c r="D28" i="8"/>
  <c r="B20" i="7"/>
  <c r="B18" i="7"/>
  <c r="B53" i="7"/>
  <c r="F51" i="7"/>
  <c r="D51" i="7"/>
  <c r="C51" i="7"/>
  <c r="B51" i="7"/>
  <c r="B52" i="7" s="1"/>
  <c r="B32" i="7"/>
  <c r="F30" i="7"/>
  <c r="D30" i="7"/>
  <c r="B30" i="7"/>
  <c r="B31" i="7" s="1"/>
  <c r="B20" i="1"/>
  <c r="B19" i="1"/>
  <c r="B18" i="1"/>
  <c r="C120" i="6"/>
  <c r="B116" i="6"/>
  <c r="D100" i="6"/>
  <c r="B98" i="6"/>
  <c r="F95" i="6"/>
  <c r="D95" i="6"/>
  <c r="B87" i="6"/>
  <c r="F97" i="6" s="1"/>
  <c r="F98" i="6" s="1"/>
  <c r="B81" i="6"/>
  <c r="B83" i="6" s="1"/>
  <c r="B80" i="6"/>
  <c r="B79" i="6"/>
  <c r="C76" i="6"/>
  <c r="B68" i="6"/>
  <c r="B55" i="6"/>
  <c r="B45" i="6"/>
  <c r="D48" i="6" s="1"/>
  <c r="F42" i="6"/>
  <c r="D42" i="6"/>
  <c r="B34" i="6"/>
  <c r="D44" i="6" s="1"/>
  <c r="B30" i="6"/>
  <c r="C120" i="5"/>
  <c r="B116" i="5"/>
  <c r="D100" i="5" s="1"/>
  <c r="B98" i="5"/>
  <c r="F95" i="5"/>
  <c r="D95" i="5"/>
  <c r="B87" i="5"/>
  <c r="F97" i="5" s="1"/>
  <c r="B81" i="5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B53" i="1"/>
  <c r="F51" i="1"/>
  <c r="D51" i="1"/>
  <c r="C51" i="1"/>
  <c r="B51" i="1"/>
  <c r="B52" i="1" s="1"/>
  <c r="B32" i="1"/>
  <c r="F30" i="1"/>
  <c r="D30" i="1"/>
  <c r="C30" i="1"/>
  <c r="B30" i="1"/>
  <c r="B31" i="1" s="1"/>
  <c r="B83" i="5" l="1"/>
  <c r="F98" i="5" s="1"/>
  <c r="G94" i="5" s="1"/>
  <c r="B40" i="7"/>
  <c r="I92" i="5"/>
  <c r="I92" i="6"/>
  <c r="F99" i="6"/>
  <c r="D101" i="5"/>
  <c r="D102" i="5" s="1"/>
  <c r="I39" i="6"/>
  <c r="I39" i="5"/>
  <c r="D101" i="6"/>
  <c r="G91" i="6" s="1"/>
  <c r="F44" i="6"/>
  <c r="F45" i="6" s="1"/>
  <c r="D49" i="6"/>
  <c r="D45" i="6"/>
  <c r="D46" i="6" s="1"/>
  <c r="D97" i="5"/>
  <c r="D45" i="5"/>
  <c r="E40" i="5" s="1"/>
  <c r="F44" i="5"/>
  <c r="F45" i="5" s="1"/>
  <c r="E38" i="5"/>
  <c r="D49" i="5"/>
  <c r="E39" i="5"/>
  <c r="D102" i="6"/>
  <c r="G92" i="6"/>
  <c r="B69" i="5"/>
  <c r="D97" i="6"/>
  <c r="D98" i="6" s="1"/>
  <c r="D99" i="6" s="1"/>
  <c r="D98" i="5" l="1"/>
  <c r="E91" i="5" s="1"/>
  <c r="G94" i="6"/>
  <c r="G93" i="6"/>
  <c r="E38" i="6"/>
  <c r="E41" i="5"/>
  <c r="D46" i="5"/>
  <c r="E40" i="6"/>
  <c r="E39" i="6"/>
  <c r="E41" i="6"/>
  <c r="G41" i="6"/>
  <c r="G40" i="6"/>
  <c r="G39" i="6"/>
  <c r="F46" i="6"/>
  <c r="G38" i="6"/>
  <c r="G92" i="5"/>
  <c r="F46" i="5"/>
  <c r="G41" i="5"/>
  <c r="G40" i="5"/>
  <c r="G38" i="5"/>
  <c r="E42" i="5"/>
  <c r="G39" i="5"/>
  <c r="G93" i="5"/>
  <c r="E92" i="5"/>
  <c r="E94" i="6"/>
  <c r="E93" i="6"/>
  <c r="E91" i="6"/>
  <c r="E92" i="6"/>
  <c r="F99" i="5"/>
  <c r="G91" i="5"/>
  <c r="D99" i="5" l="1"/>
  <c r="E94" i="5"/>
  <c r="E93" i="5"/>
  <c r="D103" i="5" s="1"/>
  <c r="E113" i="5" s="1"/>
  <c r="F113" i="5" s="1"/>
  <c r="E95" i="5"/>
  <c r="G95" i="6"/>
  <c r="D52" i="6"/>
  <c r="G66" i="6"/>
  <c r="H66" i="6" s="1"/>
  <c r="G95" i="5"/>
  <c r="D50" i="5"/>
  <c r="G68" i="5" s="1"/>
  <c r="H68" i="5" s="1"/>
  <c r="G42" i="5"/>
  <c r="D52" i="5"/>
  <c r="D105" i="5"/>
  <c r="E95" i="6"/>
  <c r="D105" i="6"/>
  <c r="D103" i="6"/>
  <c r="G60" i="5" l="1"/>
  <c r="H60" i="5" s="1"/>
  <c r="G64" i="5"/>
  <c r="H64" i="5" s="1"/>
  <c r="G67" i="6"/>
  <c r="H67" i="6" s="1"/>
  <c r="G70" i="6"/>
  <c r="H70" i="6" s="1"/>
  <c r="H61" i="6"/>
  <c r="G71" i="6"/>
  <c r="H71" i="6" s="1"/>
  <c r="H62" i="6"/>
  <c r="G65" i="6"/>
  <c r="H65" i="6" s="1"/>
  <c r="H60" i="6"/>
  <c r="G69" i="6"/>
  <c r="H69" i="6" s="1"/>
  <c r="G64" i="6"/>
  <c r="H64" i="6" s="1"/>
  <c r="G68" i="6"/>
  <c r="H68" i="6" s="1"/>
  <c r="G63" i="6"/>
  <c r="H63" i="6" s="1"/>
  <c r="D51" i="6"/>
  <c r="D104" i="5"/>
  <c r="E108" i="5"/>
  <c r="F108" i="5" s="1"/>
  <c r="E109" i="5"/>
  <c r="F109" i="5" s="1"/>
  <c r="E110" i="5"/>
  <c r="F110" i="5" s="1"/>
  <c r="E111" i="5"/>
  <c r="F111" i="5" s="1"/>
  <c r="E112" i="5"/>
  <c r="F112" i="5" s="1"/>
  <c r="G61" i="5"/>
  <c r="H61" i="5" s="1"/>
  <c r="G62" i="5"/>
  <c r="H62" i="5" s="1"/>
  <c r="G71" i="5"/>
  <c r="H71" i="5" s="1"/>
  <c r="G67" i="5"/>
  <c r="H67" i="5" s="1"/>
  <c r="G70" i="5"/>
  <c r="H70" i="5" s="1"/>
  <c r="D51" i="5"/>
  <c r="G69" i="5"/>
  <c r="H69" i="5" s="1"/>
  <c r="G65" i="5"/>
  <c r="H65" i="5" s="1"/>
  <c r="G66" i="5"/>
  <c r="H66" i="5" s="1"/>
  <c r="G63" i="5"/>
  <c r="H63" i="5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G72" i="6" l="1"/>
  <c r="G73" i="6" s="1"/>
  <c r="G74" i="6"/>
  <c r="E115" i="5"/>
  <c r="E116" i="5" s="1"/>
  <c r="E117" i="5"/>
  <c r="H74" i="5"/>
  <c r="H72" i="5"/>
  <c r="H73" i="5" s="1"/>
  <c r="G72" i="5"/>
  <c r="G73" i="5" s="1"/>
  <c r="G74" i="5"/>
  <c r="E115" i="6"/>
  <c r="E116" i="6" s="1"/>
  <c r="E117" i="6"/>
  <c r="F108" i="6"/>
  <c r="F117" i="5"/>
  <c r="F115" i="5"/>
  <c r="H74" i="6"/>
  <c r="G76" i="5" l="1"/>
  <c r="F117" i="6"/>
  <c r="F115" i="6"/>
  <c r="G76" i="6"/>
  <c r="H73" i="6"/>
  <c r="G120" i="5"/>
  <c r="F116" i="5"/>
  <c r="G120" i="6" l="1"/>
  <c r="F116" i="6"/>
</calcChain>
</file>

<file path=xl/sharedStrings.xml><?xml version="1.0" encoding="utf-8"?>
<sst xmlns="http://schemas.openxmlformats.org/spreadsheetml/2006/main" count="443" uniqueCount="136">
  <si>
    <t>HPLC System Suitability Report</t>
  </si>
  <si>
    <t>Analysis Data</t>
  </si>
  <si>
    <t>Assay</t>
  </si>
  <si>
    <t>Sample(s)</t>
  </si>
  <si>
    <t>Reference Substance:</t>
  </si>
  <si>
    <t>ACECLO - P TABLETS</t>
  </si>
  <si>
    <t>% age Purity:</t>
  </si>
  <si>
    <t>NDQD201503137</t>
  </si>
  <si>
    <t>Weight (mg):</t>
  </si>
  <si>
    <t>Aceclofenac BP, Paracetamol BP</t>
  </si>
  <si>
    <t>Standard Conc (mg/mL):</t>
  </si>
  <si>
    <t>Aceclofenac BP 100 mg, Paracetamol BP 500 mg</t>
  </si>
  <si>
    <t>2015-03-18 06:59:39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</si>
  <si>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</si>
  <si>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</si>
  <si>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</si>
  <si>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</si>
  <si>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</si>
  <si>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</si>
  <si>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</si>
  <si>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</si>
  <si>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</si>
  <si>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</si>
  <si>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</si>
  <si>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</si>
  <si>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</si>
  <si>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</si>
  <si>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</si>
  <si>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</si>
  <si>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</si>
  <si>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</si>
  <si>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</si>
  <si>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</si>
  <si>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</si>
  <si>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</si>
  <si>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</si>
  <si>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</si>
  <si>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</si>
  <si>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</si>
  <si>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</si>
  <si>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</si>
  <si>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</si>
  <si>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</si>
  <si>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</si>
  <si>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</si>
  <si>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</si>
  <si>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</si>
  <si>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</si>
  <si>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</si>
  <si>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</si>
  <si>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</si>
  <si>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</si>
  <si>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</si>
  <si>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</si>
  <si>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</si>
  <si>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</si>
  <si>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</si>
  <si>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</si>
  <si>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</si>
  <si>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</si>
  <si>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</si>
  <si>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</si>
  <si>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</si>
  <si>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</si>
  <si>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</si>
  <si>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</si>
  <si>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</si>
  <si>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</si>
  <si>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</si>
  <si>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</si>
  <si>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</si>
  <si>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</si>
  <si>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</si>
  <si>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</si>
  <si>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</si>
  <si>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</si>
  <si>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</si>
  <si>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</si>
  <si>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</si>
  <si>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</si>
  <si>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</si>
  <si>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</si>
  <si>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</si>
  <si>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</si>
  <si>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</si>
  <si>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</si>
  <si>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</si>
  <si>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</si>
  <si>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</si>
  <si>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</si>
  <si>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</si>
  <si>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</si>
  <si>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</si>
  <si>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</si>
  <si>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</si>
  <si>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</si>
  <si>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</si>
  <si>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</si>
  <si>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</si>
  <si>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</si>
  <si>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</si>
  <si>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</si>
  <si>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</si>
  <si>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</si>
  <si>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</si>
  <si>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</si>
  <si>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</si>
  <si>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</si>
  <si>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</si>
  <si>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</si>
  <si>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</si>
  <si>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</si>
  <si>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</si>
  <si>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</si>
  <si>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</si>
  <si>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</si>
  <si>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</si>
  <si>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</si>
  <si>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</si>
  <si>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</si>
  <si>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</si>
  <si>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National Quality Control Laboratory</t>
  </si>
  <si>
    <t>Laboratory Data Calculation Spreadsheet</t>
  </si>
  <si>
    <t>Each Tablet contains</t>
  </si>
  <si>
    <t>Average Tablet Content Weight (mg):</t>
  </si>
  <si>
    <t>ACECLOFENAC</t>
  </si>
  <si>
    <t>WRS/A52-7</t>
  </si>
  <si>
    <t>PARACETAMOL</t>
  </si>
  <si>
    <t>WRS/P1-3</t>
  </si>
  <si>
    <t>Resolution</t>
  </si>
  <si>
    <t>JOYFRIDA</t>
  </si>
  <si>
    <t>26TH May 2016</t>
  </si>
  <si>
    <t>26TH MAY 2016</t>
  </si>
  <si>
    <t>Each tablet contains Aceclofenac BP 100 mg and Paracetamol BP 500 mg</t>
  </si>
  <si>
    <t>Average Tablet Weight (mg):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</si>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</sst>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5" fillId="2" borderId="0"/>
    <xf numFmtId="9" fontId="26" fillId="0" borderId="0" applyFont="0" applyFill="0" applyBorder="0" applyAlignment="0" applyProtection="0"/>
  </cellStyleXfs>
  <cellXfs count="5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4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50" xfId="0" applyNumberFormat="1" applyFont="1" applyFill="1" applyBorder="1" applyAlignment="1">
      <alignment horizontal="center"/>
    </xf>
    <xf numFmtId="1" fontId="12" fillId="6" borderId="51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3" fillId="3" borderId="53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4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4" fillId="2" borderId="0" xfId="0" applyFont="1" applyFill="1"/>
    <xf numFmtId="0" fontId="25" fillId="2" borderId="0" xfId="1" applyFill="1"/>
    <xf numFmtId="0" fontId="1" fillId="2" borderId="0" xfId="1" applyFont="1" applyFill="1"/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9" fillId="2" borderId="0" xfId="1" applyFont="1" applyFill="1"/>
    <xf numFmtId="10" fontId="6" fillId="2" borderId="9" xfId="1" applyNumberFormat="1" applyFont="1" applyFill="1" applyBorder="1"/>
    <xf numFmtId="0" fontId="6" fillId="2" borderId="0" xfId="1" applyFont="1" applyFill="1" applyAlignment="1">
      <alignment horizontal="center"/>
    </xf>
    <xf numFmtId="0" fontId="6" fillId="2" borderId="9" xfId="1" applyFont="1" applyFill="1" applyBorder="1"/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165" fontId="5" fillId="2" borderId="16" xfId="1" applyNumberFormat="1" applyFont="1" applyFill="1" applyBorder="1" applyAlignment="1">
      <alignment horizontal="center"/>
    </xf>
    <xf numFmtId="2" fontId="8" fillId="2" borderId="0" xfId="1" applyNumberFormat="1" applyFont="1" applyFill="1"/>
    <xf numFmtId="10" fontId="2" fillId="2" borderId="0" xfId="1" applyNumberFormat="1" applyFont="1" applyFill="1"/>
    <xf numFmtId="0" fontId="5" fillId="2" borderId="12" xfId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vertical="center"/>
    </xf>
    <xf numFmtId="2" fontId="8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164" fontId="5" fillId="2" borderId="12" xfId="1" applyNumberFormat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6" fillId="2" borderId="12" xfId="1" applyNumberFormat="1" applyFont="1" applyFill="1" applyBorder="1" applyAlignment="1">
      <alignment horizontal="center" vertical="center"/>
    </xf>
    <xf numFmtId="10" fontId="2" fillId="2" borderId="0" xfId="1" applyNumberFormat="1" applyFont="1" applyFill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5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4" xfId="1" applyNumberFormat="1" applyFont="1" applyFill="1" applyBorder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wrapText="1"/>
    </xf>
    <xf numFmtId="164" fontId="1" fillId="2" borderId="0" xfId="1" applyNumberFormat="1" applyFont="1" applyFill="1"/>
    <xf numFmtId="0" fontId="4" fillId="2" borderId="0" xfId="1" applyFont="1" applyFill="1" applyAlignment="1">
      <alignment horizontal="left"/>
    </xf>
    <xf numFmtId="167" fontId="6" fillId="2" borderId="0" xfId="1" applyNumberFormat="1" applyFont="1" applyFill="1"/>
    <xf numFmtId="167" fontId="6" fillId="2" borderId="0" xfId="1" applyNumberFormat="1" applyFont="1" applyFill="1" applyAlignment="1">
      <alignment horizontal="center"/>
    </xf>
    <xf numFmtId="0" fontId="4" fillId="2" borderId="0" xfId="1" applyFont="1" applyFill="1"/>
    <xf numFmtId="0" fontId="10" fillId="2" borderId="0" xfId="1" applyFont="1" applyFill="1" applyAlignment="1">
      <alignment wrapText="1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wrapText="1"/>
    </xf>
    <xf numFmtId="0" fontId="10" fillId="2" borderId="19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164" fontId="1" fillId="2" borderId="0" xfId="1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166" fontId="6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2" fontId="13" fillId="3" borderId="16" xfId="0" applyNumberFormat="1" applyFont="1" applyFill="1" applyBorder="1" applyAlignment="1" applyProtection="1">
      <alignment horizontal="center"/>
      <protection locked="0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10" fontId="2" fillId="2" borderId="0" xfId="2" applyNumberFormat="1" applyFont="1" applyFill="1"/>
    <xf numFmtId="2" fontId="13" fillId="3" borderId="53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Percent" xfId="2" builtinId="5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3" zoomScale="80" zoomScaleNormal="80" workbookViewId="0">
      <selection activeCell="B22" sqref="B22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88671875" style="366" customWidth="1"/>
    <col min="6" max="6" width="25.6640625" style="4" customWidth="1"/>
    <col min="7" max="7" width="23.109375" style="4" customWidth="1"/>
    <col min="8" max="8" width="28.44140625" style="4" customWidth="1"/>
    <col min="9" max="9" width="21.5546875" style="4" customWidth="1"/>
    <col min="10" max="10" width="9.10937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5">
      <c r="A15" s="466" t="s">
        <v>0</v>
      </c>
      <c r="B15" s="466"/>
      <c r="C15" s="466"/>
      <c r="D15" s="466"/>
      <c r="E15" s="466"/>
      <c r="F15" s="466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515" t="str">
        <f>PARACETAMOL!B26</f>
        <v>PARACETAMOL</v>
      </c>
      <c r="C18" s="10"/>
      <c r="D18" s="10"/>
      <c r="E18" s="53"/>
      <c r="F18" s="10"/>
    </row>
    <row r="19" spans="1:7" ht="16.5" customHeight="1" x14ac:dyDescent="0.3">
      <c r="A19" s="11" t="s">
        <v>6</v>
      </c>
      <c r="B19" s="12">
        <f>PARACETAMOL!B28</f>
        <v>99.84</v>
      </c>
      <c r="C19" s="10"/>
      <c r="D19" s="10"/>
      <c r="E19" s="53"/>
      <c r="F19" s="10"/>
    </row>
    <row r="20" spans="1:7" ht="16.5" customHeight="1" x14ac:dyDescent="0.3">
      <c r="A20" s="7" t="s">
        <v>8</v>
      </c>
      <c r="B20" s="12">
        <f>PARACETAMOL!D43</f>
        <v>26.83</v>
      </c>
      <c r="C20" s="10"/>
      <c r="D20" s="10"/>
      <c r="E20" s="53"/>
      <c r="F20" s="10"/>
    </row>
    <row r="21" spans="1:7" ht="16.5" customHeight="1" x14ac:dyDescent="0.3">
      <c r="A21" s="7" t="s">
        <v>10</v>
      </c>
      <c r="B21" s="517">
        <f>B20/50</f>
        <v>0.53659999999999997</v>
      </c>
      <c r="C21" s="516"/>
      <c r="D21" s="10"/>
      <c r="E21" s="53"/>
      <c r="F21" s="10"/>
    </row>
    <row r="22" spans="1:7" ht="15.75" customHeight="1" x14ac:dyDescent="0.3">
      <c r="A22" s="10"/>
      <c r="B22" s="10"/>
      <c r="C22" s="10"/>
      <c r="D22" s="10"/>
      <c r="E22" s="53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129</v>
      </c>
    </row>
    <row r="24" spans="1:7" ht="16.5" customHeight="1" x14ac:dyDescent="0.3">
      <c r="A24" s="17">
        <v>1</v>
      </c>
      <c r="B24" s="18">
        <v>40853381</v>
      </c>
      <c r="C24" s="18">
        <v>5778.81</v>
      </c>
      <c r="D24" s="19">
        <v>1.07</v>
      </c>
      <c r="E24" s="20">
        <v>3.21</v>
      </c>
      <c r="F24" s="20">
        <v>0</v>
      </c>
    </row>
    <row r="25" spans="1:7" ht="16.5" customHeight="1" x14ac:dyDescent="0.3">
      <c r="A25" s="17">
        <v>2</v>
      </c>
      <c r="B25" s="18">
        <v>40371728</v>
      </c>
      <c r="C25" s="18">
        <v>5924.33</v>
      </c>
      <c r="D25" s="19">
        <v>1.08</v>
      </c>
      <c r="E25" s="19">
        <v>3.21</v>
      </c>
      <c r="F25" s="19">
        <v>0</v>
      </c>
    </row>
    <row r="26" spans="1:7" ht="16.5" customHeight="1" x14ac:dyDescent="0.3">
      <c r="A26" s="17">
        <v>3</v>
      </c>
      <c r="B26" s="18">
        <v>40693434</v>
      </c>
      <c r="C26" s="18">
        <v>5894.02</v>
      </c>
      <c r="D26" s="19">
        <v>1.07</v>
      </c>
      <c r="E26" s="19">
        <v>3.22</v>
      </c>
      <c r="F26" s="19">
        <v>0</v>
      </c>
    </row>
    <row r="27" spans="1:7" ht="16.5" customHeight="1" x14ac:dyDescent="0.3">
      <c r="A27" s="17">
        <v>4</v>
      </c>
      <c r="B27" s="18">
        <v>40731328</v>
      </c>
      <c r="C27" s="18">
        <v>5911.12</v>
      </c>
      <c r="D27" s="19">
        <v>1.08</v>
      </c>
      <c r="E27" s="19">
        <v>3.21</v>
      </c>
      <c r="F27" s="19">
        <v>0</v>
      </c>
    </row>
    <row r="28" spans="1:7" ht="16.5" customHeight="1" x14ac:dyDescent="0.3">
      <c r="A28" s="17">
        <v>5</v>
      </c>
      <c r="B28" s="18">
        <v>40726793</v>
      </c>
      <c r="C28" s="18">
        <v>5874.47</v>
      </c>
      <c r="D28" s="19">
        <v>1.08</v>
      </c>
      <c r="E28" s="19">
        <v>3.22</v>
      </c>
      <c r="F28" s="19">
        <v>0</v>
      </c>
    </row>
    <row r="29" spans="1:7" ht="16.5" customHeight="1" x14ac:dyDescent="0.3">
      <c r="A29" s="17">
        <v>6</v>
      </c>
      <c r="B29" s="21">
        <v>40374334</v>
      </c>
      <c r="C29" s="21">
        <v>6001.57</v>
      </c>
      <c r="D29" s="22">
        <v>1.06</v>
      </c>
      <c r="E29" s="22">
        <v>3.22</v>
      </c>
      <c r="F29" s="22">
        <v>0</v>
      </c>
    </row>
    <row r="30" spans="1:7" ht="16.5" customHeight="1" x14ac:dyDescent="0.3">
      <c r="A30" s="23" t="s">
        <v>18</v>
      </c>
      <c r="B30" s="24">
        <f>AVERAGE(B24:B29)</f>
        <v>40625166.333333336</v>
      </c>
      <c r="C30" s="26">
        <f>AVERAGE(C24:C29)</f>
        <v>5897.3866666666663</v>
      </c>
      <c r="D30" s="26">
        <f>AVERAGE(D24:D29)</f>
        <v>1.0733333333333335</v>
      </c>
      <c r="E30" s="26">
        <f>AVERAGE(E24:E29)</f>
        <v>3.2149999999999999</v>
      </c>
      <c r="F30" s="26">
        <f>AVERAGE(F24:F29)</f>
        <v>0</v>
      </c>
    </row>
    <row r="31" spans="1:7" ht="16.5" customHeight="1" x14ac:dyDescent="0.3">
      <c r="A31" s="27" t="s">
        <v>19</v>
      </c>
      <c r="B31" s="28">
        <f>(STDEV(B24:B29)/B30)</f>
        <v>4.990150503232431E-3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54"/>
      <c r="F32" s="35"/>
    </row>
    <row r="33" spans="1:7" s="2" customFormat="1" ht="15.75" customHeight="1" x14ac:dyDescent="0.3">
      <c r="A33" s="10"/>
      <c r="B33" s="10"/>
      <c r="C33" s="10"/>
      <c r="D33" s="10"/>
      <c r="E33" s="53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10"/>
      <c r="C37" s="10"/>
      <c r="D37" s="10"/>
      <c r="E37" s="53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 t="str">
        <f>PARACETAMOL!B79</f>
        <v>PARACETAMOL</v>
      </c>
      <c r="C39" s="10"/>
      <c r="D39" s="10"/>
      <c r="E39" s="53"/>
      <c r="F39" s="10"/>
    </row>
    <row r="40" spans="1:7" ht="16.5" customHeight="1" x14ac:dyDescent="0.3">
      <c r="A40" s="11" t="s">
        <v>6</v>
      </c>
      <c r="B40" s="12">
        <f>PARACETAMOL!B81</f>
        <v>99.84</v>
      </c>
      <c r="C40" s="10"/>
      <c r="D40" s="10"/>
      <c r="E40" s="53"/>
      <c r="F40" s="10"/>
    </row>
    <row r="41" spans="1:7" ht="16.5" customHeight="1" x14ac:dyDescent="0.3">
      <c r="A41" s="7" t="s">
        <v>8</v>
      </c>
      <c r="B41" s="12">
        <f>PARACETAMOL!D96</f>
        <v>27.65</v>
      </c>
      <c r="C41" s="10"/>
      <c r="D41" s="10"/>
      <c r="E41" s="53"/>
      <c r="F41" s="10"/>
    </row>
    <row r="42" spans="1:7" ht="16.5" customHeight="1" x14ac:dyDescent="0.3">
      <c r="A42" s="7" t="s">
        <v>10</v>
      </c>
      <c r="B42" s="13">
        <f>B41/100*20/50</f>
        <v>0.11059999999999999</v>
      </c>
      <c r="C42" s="10"/>
      <c r="D42" s="10"/>
      <c r="E42" s="53"/>
      <c r="F42" s="10"/>
    </row>
    <row r="43" spans="1:7" ht="15.75" customHeight="1" x14ac:dyDescent="0.3">
      <c r="A43" s="10"/>
      <c r="B43" s="10"/>
      <c r="C43" s="10"/>
      <c r="D43" s="10"/>
      <c r="E43" s="53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523" t="s">
        <v>129</v>
      </c>
    </row>
    <row r="45" spans="1:7" ht="16.5" customHeight="1" x14ac:dyDescent="0.3">
      <c r="A45" s="17">
        <v>1</v>
      </c>
      <c r="B45" s="18">
        <v>33405834</v>
      </c>
      <c r="C45" s="18">
        <v>5368.21</v>
      </c>
      <c r="D45" s="19">
        <v>0.92</v>
      </c>
      <c r="E45" s="520">
        <v>2.88</v>
      </c>
      <c r="F45" s="525">
        <v>0</v>
      </c>
    </row>
    <row r="46" spans="1:7" ht="16.5" customHeight="1" x14ac:dyDescent="0.3">
      <c r="A46" s="17">
        <v>2</v>
      </c>
      <c r="B46" s="18">
        <v>33399179</v>
      </c>
      <c r="C46" s="18">
        <v>5668.64</v>
      </c>
      <c r="D46" s="19">
        <v>0.92</v>
      </c>
      <c r="E46" s="521">
        <v>2.88</v>
      </c>
      <c r="F46" s="526">
        <v>0</v>
      </c>
    </row>
    <row r="47" spans="1:7" ht="16.5" customHeight="1" x14ac:dyDescent="0.3">
      <c r="A47" s="17">
        <v>3</v>
      </c>
      <c r="B47" s="18">
        <v>33513805</v>
      </c>
      <c r="C47" s="18">
        <v>5417.38</v>
      </c>
      <c r="D47" s="19">
        <v>0.94</v>
      </c>
      <c r="E47" s="521">
        <v>2.88</v>
      </c>
      <c r="F47" s="526">
        <v>0</v>
      </c>
    </row>
    <row r="48" spans="1:7" ht="16.5" customHeight="1" x14ac:dyDescent="0.3">
      <c r="A48" s="17">
        <v>4</v>
      </c>
      <c r="B48" s="18">
        <v>33304252</v>
      </c>
      <c r="C48" s="18">
        <v>5642.15</v>
      </c>
      <c r="D48" s="19">
        <v>0.94</v>
      </c>
      <c r="E48" s="521">
        <v>2.88</v>
      </c>
      <c r="F48" s="526">
        <v>0</v>
      </c>
    </row>
    <row r="49" spans="1:8" ht="16.5" customHeight="1" x14ac:dyDescent="0.3">
      <c r="A49" s="17">
        <v>5</v>
      </c>
      <c r="B49" s="18">
        <v>33425884</v>
      </c>
      <c r="C49" s="18">
        <v>5805.25</v>
      </c>
      <c r="D49" s="19">
        <v>0.96</v>
      </c>
      <c r="E49" s="521">
        <v>2.88</v>
      </c>
      <c r="F49" s="526">
        <v>0</v>
      </c>
    </row>
    <row r="50" spans="1:8" ht="16.5" customHeight="1" x14ac:dyDescent="0.3">
      <c r="A50" s="17">
        <v>6</v>
      </c>
      <c r="B50" s="21">
        <v>33461979</v>
      </c>
      <c r="C50" s="21">
        <v>5764.3</v>
      </c>
      <c r="D50" s="22">
        <v>0.95</v>
      </c>
      <c r="E50" s="522">
        <v>2.87</v>
      </c>
      <c r="F50" s="527">
        <v>0</v>
      </c>
    </row>
    <row r="51" spans="1:8" ht="16.5" customHeight="1" x14ac:dyDescent="0.3">
      <c r="A51" s="23" t="s">
        <v>18</v>
      </c>
      <c r="B51" s="24">
        <f>AVERAGE(B45:B50)</f>
        <v>33418488.833333332</v>
      </c>
      <c r="C51" s="25">
        <f>AVERAGE(C45:C50)</f>
        <v>5610.9883333333337</v>
      </c>
      <c r="D51" s="26">
        <f>AVERAGE(D45:D50)</f>
        <v>0.93833333333333335</v>
      </c>
      <c r="E51" s="26">
        <f>AVERAGE(E45:E50)</f>
        <v>2.8783333333333334</v>
      </c>
      <c r="F51" s="524">
        <f>AVERAGE(F45:F50)</f>
        <v>0</v>
      </c>
    </row>
    <row r="52" spans="1:8" ht="16.5" customHeight="1" x14ac:dyDescent="0.3">
      <c r="A52" s="27" t="s">
        <v>19</v>
      </c>
      <c r="B52" s="28">
        <f>(STDEV(B45:B50)/B51)</f>
        <v>2.0995302700598096E-3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54"/>
      <c r="F53" s="35"/>
    </row>
    <row r="54" spans="1:8" s="2" customFormat="1" ht="15.75" customHeight="1" x14ac:dyDescent="0.3">
      <c r="A54" s="10"/>
      <c r="B54" s="10"/>
      <c r="C54" s="10"/>
      <c r="D54" s="10"/>
      <c r="E54" s="53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42"/>
      <c r="D58" s="43"/>
      <c r="E58" s="465"/>
      <c r="G58" s="44"/>
      <c r="H58" s="44"/>
    </row>
    <row r="59" spans="1:8" ht="15" customHeight="1" x14ac:dyDescent="0.3">
      <c r="B59" s="467" t="s">
        <v>26</v>
      </c>
      <c r="C59" s="467"/>
      <c r="F59" s="45" t="s">
        <v>27</v>
      </c>
      <c r="G59" s="46"/>
      <c r="H59" s="45" t="s">
        <v>28</v>
      </c>
    </row>
    <row r="60" spans="1:8" ht="27.75" customHeight="1" x14ac:dyDescent="0.3">
      <c r="A60" s="47" t="s">
        <v>29</v>
      </c>
      <c r="B60" s="48"/>
      <c r="C60" s="48" t="s">
        <v>130</v>
      </c>
      <c r="F60" s="48" t="s">
        <v>131</v>
      </c>
      <c r="G60" s="2"/>
      <c r="H60" s="49"/>
    </row>
    <row r="61" spans="1:8" ht="30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B50" sqref="B50"/>
    </sheetView>
  </sheetViews>
  <sheetFormatPr defaultColWidth="9.109375" defaultRowHeight="13.8" x14ac:dyDescent="0.3"/>
  <cols>
    <col min="1" max="1" width="27.5546875" style="366" customWidth="1"/>
    <col min="2" max="2" width="20.44140625" style="366" customWidth="1"/>
    <col min="3" max="3" width="31.88671875" style="366" customWidth="1"/>
    <col min="4" max="5" width="25.88671875" style="366" customWidth="1"/>
    <col min="6" max="6" width="25.6640625" style="366" customWidth="1"/>
    <col min="7" max="7" width="23.109375" style="366" customWidth="1"/>
    <col min="8" max="8" width="28.44140625" style="366" customWidth="1"/>
    <col min="9" max="9" width="21.5546875" style="366" customWidth="1"/>
    <col min="10" max="10" width="9.109375" style="366" customWidth="1"/>
    <col min="11" max="16384" width="9.109375" style="44"/>
  </cols>
  <sheetData>
    <row r="14" spans="1:7" ht="15" customHeight="1" x14ac:dyDescent="0.3">
      <c r="A14" s="1"/>
      <c r="C14" s="3"/>
      <c r="G14" s="3"/>
    </row>
    <row r="15" spans="1:7" ht="18.75" customHeight="1" x14ac:dyDescent="0.35">
      <c r="A15" s="466" t="s">
        <v>0</v>
      </c>
      <c r="B15" s="466"/>
      <c r="C15" s="466"/>
      <c r="D15" s="466"/>
      <c r="E15" s="466"/>
      <c r="F15" s="466"/>
    </row>
    <row r="16" spans="1:7" ht="16.5" customHeight="1" x14ac:dyDescent="0.3">
      <c r="A16" s="56" t="s">
        <v>1</v>
      </c>
      <c r="B16" s="52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53"/>
    </row>
    <row r="18" spans="1:6" ht="16.5" customHeight="1" x14ac:dyDescent="0.3">
      <c r="A18" s="55" t="s">
        <v>4</v>
      </c>
      <c r="B18" s="420" t="str">
        <f>ACECLOFENAC!B26</f>
        <v>ACECLOFENAC</v>
      </c>
      <c r="C18" s="53"/>
      <c r="D18" s="53"/>
      <c r="E18" s="53"/>
      <c r="F18" s="53"/>
    </row>
    <row r="19" spans="1:6" ht="16.5" customHeight="1" x14ac:dyDescent="0.3">
      <c r="A19" s="55" t="s">
        <v>6</v>
      </c>
      <c r="B19" s="12">
        <f>99.44</f>
        <v>99.44</v>
      </c>
      <c r="C19" s="53"/>
      <c r="D19" s="53"/>
      <c r="E19" s="53"/>
      <c r="F19" s="53"/>
    </row>
    <row r="20" spans="1:6" ht="16.5" customHeight="1" x14ac:dyDescent="0.3">
      <c r="A20" s="8" t="s">
        <v>8</v>
      </c>
      <c r="B20" s="12">
        <f>ACECLOFENAC!D43</f>
        <v>13.17</v>
      </c>
      <c r="C20" s="53"/>
      <c r="D20" s="53"/>
      <c r="E20" s="53"/>
      <c r="F20" s="53"/>
    </row>
    <row r="21" spans="1:6" ht="16.5" customHeight="1" x14ac:dyDescent="0.3">
      <c r="A21" s="8" t="s">
        <v>10</v>
      </c>
      <c r="B21" s="517">
        <f>B20/10*5/50</f>
        <v>0.13170000000000001</v>
      </c>
      <c r="C21" s="53"/>
      <c r="D21" s="53"/>
      <c r="E21" s="53"/>
      <c r="F21" s="53"/>
    </row>
    <row r="22" spans="1:6" ht="15.75" customHeight="1" x14ac:dyDescent="0.3">
      <c r="A22" s="53"/>
      <c r="B22" s="53"/>
      <c r="C22" s="53"/>
      <c r="D22" s="53"/>
      <c r="E22" s="53"/>
      <c r="F22" s="53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129</v>
      </c>
    </row>
    <row r="24" spans="1:6" ht="16.5" customHeight="1" x14ac:dyDescent="0.3">
      <c r="A24" s="17">
        <v>1</v>
      </c>
      <c r="B24" s="18">
        <v>18590430</v>
      </c>
      <c r="C24" s="19">
        <v>8641.94</v>
      </c>
      <c r="D24" s="19">
        <v>0.96</v>
      </c>
      <c r="E24" s="20">
        <v>16.71</v>
      </c>
      <c r="F24" s="20">
        <v>30.4</v>
      </c>
    </row>
    <row r="25" spans="1:6" ht="16.5" customHeight="1" x14ac:dyDescent="0.3">
      <c r="A25" s="17">
        <v>2</v>
      </c>
      <c r="B25" s="18">
        <v>18400512</v>
      </c>
      <c r="C25" s="19">
        <v>8917.91</v>
      </c>
      <c r="D25" s="19">
        <v>0.96</v>
      </c>
      <c r="E25" s="19">
        <v>16.72</v>
      </c>
      <c r="F25" s="19">
        <v>30.87</v>
      </c>
    </row>
    <row r="26" spans="1:6" ht="16.5" customHeight="1" x14ac:dyDescent="0.3">
      <c r="A26" s="17">
        <v>3</v>
      </c>
      <c r="B26" s="18">
        <v>18586529</v>
      </c>
      <c r="C26" s="19">
        <v>8771.7099999999991</v>
      </c>
      <c r="D26" s="19">
        <v>0.96</v>
      </c>
      <c r="E26" s="19">
        <v>16.7</v>
      </c>
      <c r="F26" s="19">
        <v>30.61</v>
      </c>
    </row>
    <row r="27" spans="1:6" ht="16.5" customHeight="1" x14ac:dyDescent="0.3">
      <c r="A27" s="17">
        <v>4</v>
      </c>
      <c r="B27" s="18">
        <v>18574954</v>
      </c>
      <c r="C27" s="19">
        <v>8835.93</v>
      </c>
      <c r="D27" s="19">
        <v>0.96</v>
      </c>
      <c r="E27" s="19">
        <v>16.68</v>
      </c>
      <c r="F27" s="19">
        <v>30.71</v>
      </c>
    </row>
    <row r="28" spans="1:6" ht="16.5" customHeight="1" x14ac:dyDescent="0.3">
      <c r="A28" s="17">
        <v>5</v>
      </c>
      <c r="B28" s="18">
        <v>18541051</v>
      </c>
      <c r="C28" s="19">
        <v>8825.2900000000009</v>
      </c>
      <c r="D28" s="19">
        <v>0.95</v>
      </c>
      <c r="E28" s="19">
        <v>16.670000000000002</v>
      </c>
      <c r="F28" s="19">
        <v>30.65</v>
      </c>
    </row>
    <row r="29" spans="1:6" ht="16.5" customHeight="1" x14ac:dyDescent="0.3">
      <c r="A29" s="17">
        <v>6</v>
      </c>
      <c r="B29" s="21">
        <v>18386562</v>
      </c>
      <c r="C29" s="22">
        <v>9127.82</v>
      </c>
      <c r="D29" s="22">
        <v>0.96</v>
      </c>
      <c r="E29" s="22">
        <v>16.64</v>
      </c>
      <c r="F29" s="22">
        <v>31.09</v>
      </c>
    </row>
    <row r="30" spans="1:6" ht="16.5" customHeight="1" x14ac:dyDescent="0.3">
      <c r="A30" s="23" t="s">
        <v>18</v>
      </c>
      <c r="B30" s="24">
        <f>AVERAGE(B24:B29)</f>
        <v>18513339.666666668</v>
      </c>
      <c r="C30" s="26">
        <f>AVERAGE(C24:C29)</f>
        <v>8853.4333333333325</v>
      </c>
      <c r="D30" s="26">
        <f>AVERAGE(D24:D29)</f>
        <v>0.95833333333333337</v>
      </c>
      <c r="E30" s="26">
        <f>AVERAGE(E24:E29)</f>
        <v>16.686666666666667</v>
      </c>
      <c r="F30" s="26">
        <f>AVERAGE(F24:F29)</f>
        <v>30.721666666666668</v>
      </c>
    </row>
    <row r="31" spans="1:6" ht="16.5" customHeight="1" x14ac:dyDescent="0.3">
      <c r="A31" s="27" t="s">
        <v>19</v>
      </c>
      <c r="B31" s="28">
        <f>(STDEV(B24:B29)/B30)</f>
        <v>5.1052991607952606E-3</v>
      </c>
      <c r="C31" s="29"/>
      <c r="D31" s="29"/>
      <c r="E31" s="29"/>
      <c r="F31" s="30"/>
    </row>
    <row r="32" spans="1:6" s="366" customFormat="1" ht="16.5" customHeight="1" x14ac:dyDescent="0.3">
      <c r="A32" s="31" t="s">
        <v>20</v>
      </c>
      <c r="B32" s="32">
        <f>COUNT(B24:B29)</f>
        <v>6</v>
      </c>
      <c r="C32" s="33"/>
      <c r="D32" s="54"/>
      <c r="E32" s="54"/>
      <c r="F32" s="35"/>
    </row>
    <row r="33" spans="1:6" s="366" customFormat="1" ht="15.75" customHeight="1" x14ac:dyDescent="0.3">
      <c r="A33" s="53"/>
      <c r="B33" s="53"/>
      <c r="C33" s="53"/>
      <c r="D33" s="53"/>
      <c r="E33" s="53"/>
      <c r="F33" s="53"/>
    </row>
    <row r="34" spans="1:6" s="366" customFormat="1" ht="16.5" customHeight="1" x14ac:dyDescent="0.3">
      <c r="A34" s="5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55"/>
      <c r="B35" s="40" t="s">
        <v>23</v>
      </c>
      <c r="C35" s="39"/>
      <c r="D35" s="39"/>
      <c r="E35" s="39"/>
      <c r="F35" s="39"/>
    </row>
    <row r="36" spans="1:6" ht="16.5" customHeight="1" x14ac:dyDescent="0.3">
      <c r="A36" s="55"/>
      <c r="B36" s="40" t="s">
        <v>24</v>
      </c>
      <c r="C36" s="39"/>
      <c r="D36" s="39"/>
      <c r="E36" s="39"/>
      <c r="F36" s="39"/>
    </row>
    <row r="37" spans="1:6" ht="15.75" customHeight="1" x14ac:dyDescent="0.3">
      <c r="A37" s="53"/>
      <c r="B37" s="53"/>
      <c r="C37" s="53"/>
      <c r="D37" s="53"/>
      <c r="E37" s="53"/>
      <c r="F37" s="53"/>
    </row>
    <row r="38" spans="1:6" ht="16.5" customHeight="1" x14ac:dyDescent="0.3">
      <c r="A38" s="56" t="s">
        <v>1</v>
      </c>
      <c r="B38" s="52" t="s">
        <v>25</v>
      </c>
    </row>
    <row r="39" spans="1:6" ht="16.5" customHeight="1" x14ac:dyDescent="0.3">
      <c r="A39" s="55" t="s">
        <v>4</v>
      </c>
      <c r="B39" s="8" t="str">
        <f>ACECLOFENAC!B79</f>
        <v>ACECLOFENAC</v>
      </c>
      <c r="C39" s="53"/>
      <c r="D39" s="53"/>
      <c r="E39" s="53"/>
      <c r="F39" s="53"/>
    </row>
    <row r="40" spans="1:6" ht="16.5" customHeight="1" x14ac:dyDescent="0.3">
      <c r="A40" s="55" t="s">
        <v>6</v>
      </c>
      <c r="B40" s="12">
        <f>ACECLOFENAC!B81</f>
        <v>99.44</v>
      </c>
      <c r="C40" s="53"/>
      <c r="D40" s="53"/>
      <c r="E40" s="53"/>
      <c r="F40" s="53"/>
    </row>
    <row r="41" spans="1:6" ht="16.5" customHeight="1" x14ac:dyDescent="0.3">
      <c r="A41" s="8" t="s">
        <v>8</v>
      </c>
      <c r="B41" s="12">
        <f>ACECLOFENAC!D96</f>
        <v>26.5</v>
      </c>
      <c r="C41" s="53"/>
      <c r="D41" s="53"/>
      <c r="E41" s="53"/>
      <c r="F41" s="53"/>
    </row>
    <row r="42" spans="1:6" ht="16.5" customHeight="1" x14ac:dyDescent="0.3">
      <c r="A42" s="8" t="s">
        <v>10</v>
      </c>
      <c r="B42" s="13">
        <f>B41/100*4/50</f>
        <v>2.12E-2</v>
      </c>
      <c r="C42" s="53"/>
      <c r="D42" s="53"/>
      <c r="E42" s="53"/>
      <c r="F42" s="53"/>
    </row>
    <row r="43" spans="1:6" ht="15.75" customHeight="1" x14ac:dyDescent="0.3">
      <c r="A43" s="53"/>
      <c r="B43" s="53"/>
      <c r="C43" s="53"/>
      <c r="D43" s="53"/>
      <c r="E43" s="53"/>
      <c r="F43" s="53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129</v>
      </c>
    </row>
    <row r="45" spans="1:6" ht="16.5" customHeight="1" x14ac:dyDescent="0.3">
      <c r="A45" s="17">
        <v>1</v>
      </c>
      <c r="B45" s="18">
        <v>12036620</v>
      </c>
      <c r="C45" s="19">
        <v>12940.08</v>
      </c>
      <c r="D45" s="19">
        <v>1.01</v>
      </c>
      <c r="E45" s="20">
        <v>12.92</v>
      </c>
      <c r="F45" s="20">
        <v>32.85</v>
      </c>
    </row>
    <row r="46" spans="1:6" ht="16.5" customHeight="1" x14ac:dyDescent="0.3">
      <c r="A46" s="17">
        <v>2</v>
      </c>
      <c r="B46" s="18">
        <v>12007477</v>
      </c>
      <c r="C46" s="19">
        <v>13106.4</v>
      </c>
      <c r="D46" s="19">
        <v>1.02</v>
      </c>
      <c r="E46" s="19">
        <v>12.92</v>
      </c>
      <c r="F46" s="19">
        <v>33.24</v>
      </c>
    </row>
    <row r="47" spans="1:6" ht="16.5" customHeight="1" x14ac:dyDescent="0.3">
      <c r="A47" s="17">
        <v>3</v>
      </c>
      <c r="B47" s="18">
        <v>12020288</v>
      </c>
      <c r="C47" s="19">
        <v>13244.74</v>
      </c>
      <c r="D47" s="19">
        <v>1.02</v>
      </c>
      <c r="E47" s="19">
        <v>12.94</v>
      </c>
      <c r="F47" s="19">
        <v>33.200000000000003</v>
      </c>
    </row>
    <row r="48" spans="1:6" ht="16.5" customHeight="1" x14ac:dyDescent="0.3">
      <c r="A48" s="17">
        <v>4</v>
      </c>
      <c r="B48" s="18">
        <v>11994767</v>
      </c>
      <c r="C48" s="19">
        <v>13380.66</v>
      </c>
      <c r="D48" s="19">
        <v>1.03</v>
      </c>
      <c r="E48" s="19">
        <v>12.94</v>
      </c>
      <c r="F48" s="19">
        <v>33.5</v>
      </c>
    </row>
    <row r="49" spans="1:8" ht="16.5" customHeight="1" x14ac:dyDescent="0.3">
      <c r="A49" s="17">
        <v>5</v>
      </c>
      <c r="B49" s="18">
        <v>11917588</v>
      </c>
      <c r="C49" s="19">
        <v>13472.04</v>
      </c>
      <c r="D49" s="19">
        <v>1.03</v>
      </c>
      <c r="E49" s="19">
        <v>12.95</v>
      </c>
      <c r="F49" s="19">
        <v>33.75</v>
      </c>
    </row>
    <row r="50" spans="1:8" ht="16.5" customHeight="1" x14ac:dyDescent="0.3">
      <c r="A50" s="17">
        <v>6</v>
      </c>
      <c r="B50" s="21">
        <v>12070431</v>
      </c>
      <c r="C50" s="22">
        <v>13376.94</v>
      </c>
      <c r="D50" s="22">
        <v>1.05</v>
      </c>
      <c r="E50" s="22">
        <v>12.8</v>
      </c>
      <c r="F50" s="22">
        <v>33.42</v>
      </c>
    </row>
    <row r="51" spans="1:8" ht="16.5" customHeight="1" x14ac:dyDescent="0.3">
      <c r="A51" s="23" t="s">
        <v>18</v>
      </c>
      <c r="B51" s="24">
        <f>AVERAGE(B45:B50)</f>
        <v>12007861.833333334</v>
      </c>
      <c r="C51" s="26">
        <f>AVERAGE(C45:C50)</f>
        <v>13253.476666666669</v>
      </c>
      <c r="D51" s="26">
        <f>AVERAGE(D45:D50)</f>
        <v>1.0266666666666666</v>
      </c>
      <c r="E51" s="26">
        <f>AVERAGE(E45:E50)</f>
        <v>12.911666666666667</v>
      </c>
      <c r="F51" s="26">
        <f>AVERAGE(F45:F50)</f>
        <v>33.326666666666675</v>
      </c>
    </row>
    <row r="52" spans="1:8" ht="16.5" customHeight="1" x14ac:dyDescent="0.3">
      <c r="A52" s="27" t="s">
        <v>19</v>
      </c>
      <c r="B52" s="28">
        <f>(STDEV(B45:B50)/B51)</f>
        <v>4.2817487974663752E-3</v>
      </c>
      <c r="C52" s="29"/>
      <c r="D52" s="29"/>
      <c r="E52" s="29"/>
      <c r="F52" s="30"/>
    </row>
    <row r="53" spans="1:8" s="366" customFormat="1" ht="16.5" customHeight="1" x14ac:dyDescent="0.3">
      <c r="A53" s="31" t="s">
        <v>20</v>
      </c>
      <c r="B53" s="32">
        <f>COUNT(B45:B50)</f>
        <v>6</v>
      </c>
      <c r="C53" s="33"/>
      <c r="D53" s="54"/>
      <c r="E53" s="54"/>
      <c r="F53" s="35"/>
    </row>
    <row r="54" spans="1:8" s="366" customFormat="1" ht="15.75" customHeight="1" x14ac:dyDescent="0.3">
      <c r="A54" s="53"/>
      <c r="B54" s="53"/>
      <c r="C54" s="53"/>
      <c r="D54" s="53"/>
      <c r="E54" s="53"/>
      <c r="F54" s="53"/>
    </row>
    <row r="55" spans="1:8" s="366" customFormat="1" ht="16.5" customHeight="1" x14ac:dyDescent="0.3">
      <c r="A55" s="5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55"/>
      <c r="B56" s="40" t="s">
        <v>23</v>
      </c>
      <c r="C56" s="39"/>
      <c r="D56" s="39"/>
      <c r="E56" s="39"/>
      <c r="F56" s="39"/>
    </row>
    <row r="57" spans="1:8" ht="16.5" customHeight="1" x14ac:dyDescent="0.3">
      <c r="A57" s="55"/>
      <c r="B57" s="40" t="s">
        <v>24</v>
      </c>
      <c r="C57" s="39"/>
      <c r="D57" s="39"/>
      <c r="E57" s="39"/>
      <c r="F57" s="39"/>
    </row>
    <row r="58" spans="1:8" ht="14.25" customHeight="1" thickBot="1" x14ac:dyDescent="0.35">
      <c r="A58" s="41"/>
      <c r="B58" s="290"/>
      <c r="D58" s="43"/>
      <c r="E58" s="465"/>
      <c r="G58" s="44"/>
      <c r="H58" s="44"/>
    </row>
    <row r="59" spans="1:8" ht="15" customHeight="1" x14ac:dyDescent="0.3">
      <c r="B59" s="467" t="s">
        <v>26</v>
      </c>
      <c r="C59" s="467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9"/>
      <c r="C60" s="49" t="s">
        <v>130</v>
      </c>
      <c r="F60" s="49" t="s">
        <v>132</v>
      </c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B53" sqref="B53"/>
    </sheetView>
  </sheetViews>
  <sheetFormatPr defaultColWidth="9.109375" defaultRowHeight="13.8" x14ac:dyDescent="0.3"/>
  <cols>
    <col min="1" max="1" width="15.5546875" style="422" customWidth="1"/>
    <col min="2" max="2" width="18.44140625" style="422" customWidth="1"/>
    <col min="3" max="3" width="14.33203125" style="422" customWidth="1"/>
    <col min="4" max="4" width="15" style="422" customWidth="1"/>
    <col min="5" max="5" width="9.109375" style="422" customWidth="1"/>
    <col min="6" max="6" width="27.88671875" style="422" customWidth="1"/>
    <col min="7" max="7" width="12.33203125" style="422" customWidth="1"/>
    <col min="8" max="8" width="9.109375" style="422" customWidth="1"/>
    <col min="9" max="16384" width="9.109375" style="421"/>
  </cols>
  <sheetData>
    <row r="10" spans="1:7" ht="13.5" customHeight="1" thickBot="1" x14ac:dyDescent="0.35"/>
    <row r="11" spans="1:7" ht="13.5" customHeight="1" thickBot="1" x14ac:dyDescent="0.35">
      <c r="A11" s="472" t="s">
        <v>31</v>
      </c>
      <c r="B11" s="473"/>
      <c r="C11" s="473"/>
      <c r="D11" s="473"/>
      <c r="E11" s="473"/>
      <c r="F11" s="474"/>
      <c r="G11" s="464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463"/>
    </row>
    <row r="14" spans="1:7" ht="16.5" customHeight="1" x14ac:dyDescent="0.3">
      <c r="A14" s="468" t="s">
        <v>33</v>
      </c>
      <c r="B14" s="468"/>
      <c r="C14" s="424" t="s">
        <v>5</v>
      </c>
    </row>
    <row r="15" spans="1:7" ht="16.5" customHeight="1" x14ac:dyDescent="0.3">
      <c r="A15" s="468" t="s">
        <v>34</v>
      </c>
      <c r="B15" s="468"/>
      <c r="C15" s="424" t="s">
        <v>7</v>
      </c>
    </row>
    <row r="16" spans="1:7" ht="16.5" customHeight="1" x14ac:dyDescent="0.3">
      <c r="A16" s="468" t="s">
        <v>35</v>
      </c>
      <c r="B16" s="468"/>
      <c r="C16" s="424" t="s">
        <v>9</v>
      </c>
    </row>
    <row r="17" spans="1:5" ht="16.5" customHeight="1" x14ac:dyDescent="0.3">
      <c r="A17" s="468" t="s">
        <v>36</v>
      </c>
      <c r="B17" s="468"/>
      <c r="C17" s="424" t="s">
        <v>11</v>
      </c>
    </row>
    <row r="18" spans="1:5" ht="16.5" customHeight="1" x14ac:dyDescent="0.3">
      <c r="A18" s="468" t="s">
        <v>37</v>
      </c>
      <c r="B18" s="468"/>
      <c r="C18" s="462" t="s">
        <v>12</v>
      </c>
    </row>
    <row r="19" spans="1:5" ht="16.5" customHeight="1" x14ac:dyDescent="0.3">
      <c r="A19" s="468" t="s">
        <v>38</v>
      </c>
      <c r="B19" s="468"/>
      <c r="C19" s="462" t="e">
        <f>#REF!</f>
        <v>#REF!</v>
      </c>
    </row>
    <row r="20" spans="1:5" ht="16.5" customHeight="1" x14ac:dyDescent="0.3">
      <c r="A20" s="427"/>
      <c r="B20" s="427"/>
      <c r="C20" s="461"/>
    </row>
    <row r="21" spans="1:5" ht="16.5" customHeight="1" x14ac:dyDescent="0.3">
      <c r="A21" s="469" t="s">
        <v>1</v>
      </c>
      <c r="B21" s="469"/>
      <c r="C21" s="460" t="s">
        <v>39</v>
      </c>
      <c r="D21" s="432"/>
    </row>
    <row r="22" spans="1:5" ht="15.75" customHeight="1" thickBot="1" x14ac:dyDescent="0.35">
      <c r="A22" s="475"/>
      <c r="B22" s="475"/>
      <c r="C22" s="459"/>
      <c r="D22" s="475"/>
      <c r="E22" s="475"/>
    </row>
    <row r="23" spans="1:5" ht="33.75" customHeight="1" thickBot="1" x14ac:dyDescent="0.35">
      <c r="C23" s="458" t="s">
        <v>40</v>
      </c>
      <c r="D23" s="441" t="s">
        <v>41</v>
      </c>
      <c r="E23" s="457"/>
    </row>
    <row r="24" spans="1:5" ht="15.75" customHeight="1" x14ac:dyDescent="0.3">
      <c r="C24" s="455">
        <v>889.07</v>
      </c>
      <c r="D24" s="456">
        <f t="shared" ref="D24:D43" si="0">(C24-$C$46)/$C$46</f>
        <v>-3.5429025819816123E-5</v>
      </c>
      <c r="E24" s="451"/>
    </row>
    <row r="25" spans="1:5" ht="15.75" customHeight="1" x14ac:dyDescent="0.3">
      <c r="C25" s="455">
        <v>887.61</v>
      </c>
      <c r="D25" s="454">
        <f t="shared" si="0"/>
        <v>-1.6775362542971457E-3</v>
      </c>
      <c r="E25" s="451"/>
    </row>
    <row r="26" spans="1:5" ht="15.75" customHeight="1" x14ac:dyDescent="0.3">
      <c r="C26" s="455">
        <v>894.91</v>
      </c>
      <c r="D26" s="454">
        <f t="shared" si="0"/>
        <v>6.5329998880892465E-3</v>
      </c>
      <c r="E26" s="451"/>
    </row>
    <row r="27" spans="1:5" ht="15.75" customHeight="1" x14ac:dyDescent="0.3">
      <c r="C27" s="455">
        <v>893.23</v>
      </c>
      <c r="D27" s="454">
        <f t="shared" si="0"/>
        <v>4.6434518443620116E-3</v>
      </c>
      <c r="E27" s="451"/>
    </row>
    <row r="28" spans="1:5" ht="15.75" customHeight="1" x14ac:dyDescent="0.3">
      <c r="C28" s="455">
        <v>884.69</v>
      </c>
      <c r="D28" s="454">
        <f t="shared" si="0"/>
        <v>-4.9617507112516765E-3</v>
      </c>
      <c r="E28" s="451"/>
    </row>
    <row r="29" spans="1:5" ht="15.75" customHeight="1" x14ac:dyDescent="0.3">
      <c r="C29" s="455">
        <v>889.82</v>
      </c>
      <c r="D29" s="454">
        <f t="shared" si="0"/>
        <v>8.0811920798701026E-4</v>
      </c>
      <c r="E29" s="451"/>
    </row>
    <row r="30" spans="1:5" ht="15.75" customHeight="1" x14ac:dyDescent="0.3">
      <c r="C30" s="455">
        <v>897.67</v>
      </c>
      <c r="D30" s="454">
        <f t="shared" si="0"/>
        <v>9.6372573884983565E-3</v>
      </c>
      <c r="E30" s="451"/>
    </row>
    <row r="31" spans="1:5" ht="15.75" customHeight="1" x14ac:dyDescent="0.3">
      <c r="C31" s="455">
        <v>882.55</v>
      </c>
      <c r="D31" s="454">
        <f t="shared" si="0"/>
        <v>-7.3686750050472672E-3</v>
      </c>
      <c r="E31" s="451"/>
    </row>
    <row r="32" spans="1:5" ht="15.75" customHeight="1" x14ac:dyDescent="0.3">
      <c r="C32" s="455">
        <v>890.26</v>
      </c>
      <c r="D32" s="454">
        <f t="shared" si="0"/>
        <v>1.3030008384869486E-3</v>
      </c>
      <c r="E32" s="451"/>
    </row>
    <row r="33" spans="1:7" ht="15.75" customHeight="1" x14ac:dyDescent="0.3">
      <c r="C33" s="455">
        <v>893.56</v>
      </c>
      <c r="D33" s="454">
        <f t="shared" si="0"/>
        <v>5.0146130672369333E-3</v>
      </c>
      <c r="E33" s="451"/>
    </row>
    <row r="34" spans="1:7" ht="15.75" customHeight="1" x14ac:dyDescent="0.3">
      <c r="C34" s="455">
        <v>890.59</v>
      </c>
      <c r="D34" s="454">
        <f t="shared" si="0"/>
        <v>1.674162061361998E-3</v>
      </c>
      <c r="E34" s="451"/>
    </row>
    <row r="35" spans="1:7" ht="15.75" customHeight="1" x14ac:dyDescent="0.3">
      <c r="C35" s="455">
        <v>878.35</v>
      </c>
      <c r="D35" s="454">
        <f t="shared" si="0"/>
        <v>-1.2092545114365418E-2</v>
      </c>
      <c r="E35" s="451"/>
    </row>
    <row r="36" spans="1:7" ht="15.75" customHeight="1" x14ac:dyDescent="0.3">
      <c r="C36" s="455">
        <v>896.5</v>
      </c>
      <c r="D36" s="454">
        <f t="shared" si="0"/>
        <v>8.3213221437597532E-3</v>
      </c>
      <c r="E36" s="451"/>
    </row>
    <row r="37" spans="1:7" ht="15.75" customHeight="1" x14ac:dyDescent="0.3">
      <c r="C37" s="455">
        <v>897.13</v>
      </c>
      <c r="D37" s="454">
        <f t="shared" si="0"/>
        <v>9.0299026601574836E-3</v>
      </c>
      <c r="E37" s="451"/>
    </row>
    <row r="38" spans="1:7" ht="15.75" customHeight="1" x14ac:dyDescent="0.3">
      <c r="C38" s="455">
        <v>873.15</v>
      </c>
      <c r="D38" s="454">
        <f t="shared" si="0"/>
        <v>-1.7941146202092799E-2</v>
      </c>
      <c r="E38" s="451"/>
    </row>
    <row r="39" spans="1:7" ht="15.75" customHeight="1" x14ac:dyDescent="0.3">
      <c r="C39" s="455">
        <v>888.91</v>
      </c>
      <c r="D39" s="454">
        <f t="shared" si="0"/>
        <v>-2.1538598236536447E-4</v>
      </c>
      <c r="E39" s="451"/>
    </row>
    <row r="40" spans="1:7" ht="15.75" customHeight="1" x14ac:dyDescent="0.3">
      <c r="C40" s="455">
        <v>876.33</v>
      </c>
      <c r="D40" s="454">
        <f t="shared" si="0"/>
        <v>-1.4364501690751784E-2</v>
      </c>
      <c r="E40" s="451"/>
    </row>
    <row r="41" spans="1:7" ht="15.75" customHeight="1" x14ac:dyDescent="0.3">
      <c r="C41" s="455">
        <v>899.92</v>
      </c>
      <c r="D41" s="454">
        <f t="shared" si="0"/>
        <v>1.2167902089918836E-2</v>
      </c>
      <c r="E41" s="451"/>
    </row>
    <row r="42" spans="1:7" ht="15.75" customHeight="1" x14ac:dyDescent="0.3">
      <c r="C42" s="455">
        <v>882.91</v>
      </c>
      <c r="D42" s="454">
        <f t="shared" si="0"/>
        <v>-6.9637718528199749E-3</v>
      </c>
      <c r="E42" s="451"/>
    </row>
    <row r="43" spans="1:7" ht="16.5" customHeight="1" thickBot="1" x14ac:dyDescent="0.35">
      <c r="C43" s="453">
        <v>894.87</v>
      </c>
      <c r="D43" s="452">
        <f t="shared" si="0"/>
        <v>6.4880106489529233E-3</v>
      </c>
      <c r="E43" s="451"/>
    </row>
    <row r="44" spans="1:7" ht="16.5" customHeight="1" thickBot="1" x14ac:dyDescent="0.35">
      <c r="C44" s="447"/>
      <c r="D44" s="451"/>
      <c r="E44" s="450"/>
    </row>
    <row r="45" spans="1:7" ht="16.5" customHeight="1" thickBot="1" x14ac:dyDescent="0.35">
      <c r="B45" s="446" t="s">
        <v>42</v>
      </c>
      <c r="C45" s="449">
        <f>SUM(C24:C44)</f>
        <v>17782.03</v>
      </c>
      <c r="D45" s="448"/>
      <c r="E45" s="447"/>
    </row>
    <row r="46" spans="1:7" ht="17.25" customHeight="1" thickBot="1" x14ac:dyDescent="0.35">
      <c r="B46" s="446" t="s">
        <v>43</v>
      </c>
      <c r="C46" s="445">
        <f>AVERAGE(C24:C44)</f>
        <v>889.10149999999999</v>
      </c>
      <c r="E46" s="443"/>
    </row>
    <row r="47" spans="1:7" ht="17.25" customHeight="1" thickBot="1" x14ac:dyDescent="0.35">
      <c r="A47" s="424"/>
      <c r="B47" s="444"/>
      <c r="D47" s="439"/>
      <c r="E47" s="443"/>
    </row>
    <row r="48" spans="1:7" ht="33.75" customHeight="1" thickBot="1" x14ac:dyDescent="0.35">
      <c r="B48" s="442" t="s">
        <v>43</v>
      </c>
      <c r="C48" s="441" t="s">
        <v>44</v>
      </c>
      <c r="D48" s="440"/>
      <c r="G48" s="439"/>
    </row>
    <row r="49" spans="1:6" ht="17.25" customHeight="1" thickBot="1" x14ac:dyDescent="0.35">
      <c r="B49" s="470">
        <f>C46</f>
        <v>889.10149999999999</v>
      </c>
      <c r="C49" s="438">
        <f>-IF(C46&lt;=80,10%,IF(C46&lt;250,7.5%,5%))</f>
        <v>-0.05</v>
      </c>
      <c r="D49" s="436">
        <f>IF(C46&lt;=80,C46*0.9,IF(C46&lt;250,C46*0.925,C46*0.95))</f>
        <v>844.64642499999991</v>
      </c>
    </row>
    <row r="50" spans="1:6" ht="17.25" customHeight="1" thickBot="1" x14ac:dyDescent="0.35">
      <c r="B50" s="471"/>
      <c r="C50" s="437">
        <f>IF(C46&lt;=80, 10%, IF(C46&lt;250, 7.5%, 5%))</f>
        <v>0.05</v>
      </c>
      <c r="D50" s="436">
        <f>IF(C46&lt;=80, C46*1.1, IF(C46&lt;250, C46*1.075, C46*1.05))</f>
        <v>933.55657500000007</v>
      </c>
    </row>
    <row r="51" spans="1:6" ht="16.5" customHeight="1" thickBot="1" x14ac:dyDescent="0.35">
      <c r="A51" s="435"/>
      <c r="B51" s="434"/>
      <c r="C51" s="424"/>
      <c r="D51" s="433"/>
      <c r="E51" s="424"/>
      <c r="F51" s="432"/>
    </row>
    <row r="52" spans="1:6" ht="16.5" customHeight="1" x14ac:dyDescent="0.3">
      <c r="A52" s="424"/>
      <c r="B52" s="431" t="s">
        <v>26</v>
      </c>
      <c r="C52" s="431"/>
      <c r="D52" s="429" t="s">
        <v>27</v>
      </c>
      <c r="E52" s="430"/>
      <c r="F52" s="429" t="s">
        <v>28</v>
      </c>
    </row>
    <row r="53" spans="1:6" ht="34.5" customHeight="1" x14ac:dyDescent="0.3">
      <c r="A53" s="427" t="s">
        <v>29</v>
      </c>
      <c r="B53" s="428"/>
      <c r="C53" s="424"/>
      <c r="D53" s="428"/>
      <c r="E53" s="424"/>
      <c r="F53" s="428"/>
    </row>
    <row r="54" spans="1:6" ht="34.5" customHeight="1" x14ac:dyDescent="0.3">
      <c r="A54" s="427" t="s">
        <v>30</v>
      </c>
      <c r="B54" s="425"/>
      <c r="C54" s="426"/>
      <c r="D54" s="425"/>
      <c r="E54" s="424"/>
      <c r="F54" s="423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79" zoomScale="60" zoomScaleNormal="60" zoomScalePageLayoutView="55" workbookViewId="0">
      <selection activeCell="G131" sqref="G13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4" t="s">
        <v>121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3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3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3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3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3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3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3">
      <c r="A8" s="505" t="s">
        <v>122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3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3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3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3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3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3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5">
      <c r="A15" s="238"/>
    </row>
    <row r="16" spans="1:9" ht="19.5" customHeight="1" x14ac:dyDescent="0.35">
      <c r="A16" s="477" t="s">
        <v>31</v>
      </c>
      <c r="B16" s="478"/>
      <c r="C16" s="478"/>
      <c r="D16" s="478"/>
      <c r="E16" s="478"/>
      <c r="F16" s="478"/>
      <c r="G16" s="478"/>
      <c r="H16" s="479"/>
    </row>
    <row r="17" spans="1:14" ht="20.25" customHeight="1" x14ac:dyDescent="0.3">
      <c r="A17" s="480" t="s">
        <v>45</v>
      </c>
      <c r="B17" s="480"/>
      <c r="C17" s="480"/>
      <c r="D17" s="480"/>
      <c r="E17" s="480"/>
      <c r="F17" s="480"/>
      <c r="G17" s="480"/>
      <c r="H17" s="480"/>
    </row>
    <row r="18" spans="1:14" ht="26.25" customHeight="1" x14ac:dyDescent="0.5">
      <c r="A18" s="240" t="s">
        <v>33</v>
      </c>
      <c r="B18" s="476" t="s">
        <v>5</v>
      </c>
      <c r="C18" s="476"/>
      <c r="D18" s="406"/>
      <c r="E18" s="241"/>
      <c r="F18" s="242"/>
      <c r="G18" s="242"/>
      <c r="H18" s="242"/>
    </row>
    <row r="19" spans="1:14" ht="26.25" customHeight="1" x14ac:dyDescent="0.5">
      <c r="A19" s="240" t="s">
        <v>34</v>
      </c>
      <c r="B19" s="243" t="s">
        <v>7</v>
      </c>
      <c r="C19" s="419">
        <v>29</v>
      </c>
      <c r="D19" s="242"/>
      <c r="E19" s="242"/>
      <c r="F19" s="242"/>
      <c r="G19" s="242"/>
      <c r="H19" s="242"/>
    </row>
    <row r="20" spans="1:14" ht="26.25" customHeight="1" x14ac:dyDescent="0.5">
      <c r="A20" s="240" t="s">
        <v>35</v>
      </c>
      <c r="B20" s="481" t="s">
        <v>9</v>
      </c>
      <c r="C20" s="481"/>
      <c r="D20" s="242"/>
      <c r="E20" s="242"/>
      <c r="F20" s="242"/>
      <c r="G20" s="242"/>
      <c r="H20" s="242"/>
    </row>
    <row r="21" spans="1:14" ht="26.25" customHeight="1" x14ac:dyDescent="0.5">
      <c r="A21" s="240" t="s">
        <v>36</v>
      </c>
      <c r="B21" s="481" t="s">
        <v>133</v>
      </c>
      <c r="C21" s="481"/>
      <c r="D21" s="481"/>
      <c r="E21" s="481"/>
      <c r="F21" s="481"/>
      <c r="G21" s="481"/>
      <c r="H21" s="481"/>
      <c r="I21" s="244"/>
    </row>
    <row r="22" spans="1:14" ht="26.25" customHeight="1" x14ac:dyDescent="0.5">
      <c r="A22" s="240" t="s">
        <v>37</v>
      </c>
      <c r="B22" s="245">
        <v>42447.29142361111</v>
      </c>
      <c r="C22" s="242"/>
      <c r="D22" s="242"/>
      <c r="E22" s="242"/>
      <c r="F22" s="242"/>
      <c r="G22" s="242"/>
      <c r="H22" s="242"/>
    </row>
    <row r="23" spans="1:14" ht="26.25" customHeight="1" x14ac:dyDescent="0.5">
      <c r="A23" s="240" t="s">
        <v>38</v>
      </c>
      <c r="B23" s="245"/>
      <c r="C23" s="242"/>
      <c r="D23" s="242"/>
      <c r="E23" s="242"/>
      <c r="F23" s="242"/>
      <c r="G23" s="242"/>
      <c r="H23" s="242"/>
    </row>
    <row r="24" spans="1:14" ht="18" x14ac:dyDescent="0.35">
      <c r="A24" s="240"/>
      <c r="B24" s="246"/>
    </row>
    <row r="25" spans="1:14" ht="18" x14ac:dyDescent="0.35">
      <c r="A25" s="247" t="s">
        <v>1</v>
      </c>
      <c r="B25" s="246"/>
    </row>
    <row r="26" spans="1:14" ht="26.25" customHeight="1" x14ac:dyDescent="0.45">
      <c r="A26" s="248" t="s">
        <v>4</v>
      </c>
      <c r="B26" s="476" t="s">
        <v>127</v>
      </c>
      <c r="C26" s="476"/>
    </row>
    <row r="27" spans="1:14" ht="26.25" customHeight="1" x14ac:dyDescent="0.5">
      <c r="A27" s="249" t="s">
        <v>46</v>
      </c>
      <c r="B27" s="482" t="s">
        <v>128</v>
      </c>
      <c r="C27" s="482"/>
    </row>
    <row r="28" spans="1:14" ht="27" customHeight="1" x14ac:dyDescent="0.45">
      <c r="A28" s="249" t="s">
        <v>6</v>
      </c>
      <c r="B28" s="250">
        <v>99.84</v>
      </c>
    </row>
    <row r="29" spans="1:14" s="14" customFormat="1" ht="27" customHeight="1" x14ac:dyDescent="0.5">
      <c r="A29" s="249" t="s">
        <v>47</v>
      </c>
      <c r="B29" s="251">
        <v>0</v>
      </c>
      <c r="C29" s="483" t="s">
        <v>48</v>
      </c>
      <c r="D29" s="484"/>
      <c r="E29" s="484"/>
      <c r="F29" s="484"/>
      <c r="G29" s="485"/>
      <c r="I29" s="252"/>
      <c r="J29" s="252"/>
      <c r="K29" s="252"/>
      <c r="L29" s="252"/>
    </row>
    <row r="30" spans="1:14" s="14" customFormat="1" ht="19.5" customHeight="1" x14ac:dyDescent="0.35">
      <c r="A30" s="249" t="s">
        <v>49</v>
      </c>
      <c r="B30" s="253">
        <f>B28-B29</f>
        <v>99.84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14" customFormat="1" ht="27" customHeight="1" x14ac:dyDescent="0.45">
      <c r="A31" s="249" t="s">
        <v>50</v>
      </c>
      <c r="B31" s="256">
        <v>1</v>
      </c>
      <c r="C31" s="486" t="s">
        <v>51</v>
      </c>
      <c r="D31" s="487"/>
      <c r="E31" s="487"/>
      <c r="F31" s="487"/>
      <c r="G31" s="487"/>
      <c r="H31" s="488"/>
      <c r="I31" s="252"/>
      <c r="J31" s="252"/>
      <c r="K31" s="252"/>
      <c r="L31" s="252"/>
    </row>
    <row r="32" spans="1:14" s="14" customFormat="1" ht="27" customHeight="1" x14ac:dyDescent="0.45">
      <c r="A32" s="249" t="s">
        <v>52</v>
      </c>
      <c r="B32" s="256">
        <v>1</v>
      </c>
      <c r="C32" s="486" t="s">
        <v>53</v>
      </c>
      <c r="D32" s="487"/>
      <c r="E32" s="487"/>
      <c r="F32" s="487"/>
      <c r="G32" s="487"/>
      <c r="H32" s="488"/>
      <c r="I32" s="252"/>
      <c r="J32" s="252"/>
      <c r="K32" s="252"/>
      <c r="L32" s="257"/>
      <c r="M32" s="257"/>
      <c r="N32" s="258"/>
    </row>
    <row r="33" spans="1:14" s="14" customFormat="1" ht="17.25" customHeight="1" x14ac:dyDescent="0.35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14" customFormat="1" ht="18" x14ac:dyDescent="0.35">
      <c r="A34" s="249" t="s">
        <v>54</v>
      </c>
      <c r="B34" s="261">
        <f>B31/B32</f>
        <v>1</v>
      </c>
      <c r="C34" s="239" t="s">
        <v>55</v>
      </c>
      <c r="D34" s="239"/>
      <c r="E34" s="239"/>
      <c r="F34" s="239"/>
      <c r="G34" s="239"/>
      <c r="H34" s="366"/>
      <c r="I34" s="252"/>
      <c r="J34" s="252"/>
      <c r="K34" s="252"/>
      <c r="L34" s="257"/>
      <c r="M34" s="257"/>
      <c r="N34" s="258"/>
    </row>
    <row r="35" spans="1:14" s="14" customFormat="1" ht="19.5" customHeight="1" x14ac:dyDescent="0.35">
      <c r="A35" s="249"/>
      <c r="B35" s="253"/>
      <c r="G35" s="239"/>
      <c r="H35" s="366"/>
      <c r="I35" s="252"/>
      <c r="J35" s="252"/>
      <c r="K35" s="252"/>
      <c r="L35" s="257"/>
      <c r="M35" s="257"/>
      <c r="N35" s="258"/>
    </row>
    <row r="36" spans="1:14" s="14" customFormat="1" ht="27" customHeight="1" x14ac:dyDescent="0.45">
      <c r="A36" s="262" t="s">
        <v>56</v>
      </c>
      <c r="B36" s="263">
        <v>50</v>
      </c>
      <c r="C36" s="239"/>
      <c r="D36" s="489" t="s">
        <v>57</v>
      </c>
      <c r="E36" s="490"/>
      <c r="F36" s="489" t="s">
        <v>58</v>
      </c>
      <c r="G36" s="491"/>
      <c r="H36" s="366"/>
      <c r="J36" s="252"/>
      <c r="K36" s="252"/>
      <c r="L36" s="257"/>
      <c r="M36" s="257"/>
      <c r="N36" s="258"/>
    </row>
    <row r="37" spans="1:14" s="14" customFormat="1" ht="27" customHeight="1" x14ac:dyDescent="0.45">
      <c r="A37" s="264" t="s">
        <v>59</v>
      </c>
      <c r="B37" s="265">
        <v>1</v>
      </c>
      <c r="C37" s="266" t="s">
        <v>60</v>
      </c>
      <c r="D37" s="267" t="s">
        <v>61</v>
      </c>
      <c r="E37" s="268" t="s">
        <v>62</v>
      </c>
      <c r="F37" s="267" t="s">
        <v>61</v>
      </c>
      <c r="G37" s="269" t="s">
        <v>62</v>
      </c>
      <c r="H37" s="366"/>
      <c r="I37" s="270" t="s">
        <v>63</v>
      </c>
      <c r="J37" s="252"/>
      <c r="K37" s="252"/>
      <c r="L37" s="257"/>
      <c r="M37" s="257"/>
      <c r="N37" s="258"/>
    </row>
    <row r="38" spans="1:14" s="14" customFormat="1" ht="26.25" customHeight="1" x14ac:dyDescent="0.45">
      <c r="A38" s="264" t="s">
        <v>64</v>
      </c>
      <c r="B38" s="265">
        <v>1</v>
      </c>
      <c r="C38" s="271">
        <v>1</v>
      </c>
      <c r="D38" s="272">
        <v>40688534</v>
      </c>
      <c r="E38" s="273">
        <f>IF(ISBLANK(D38),"-",$D$48/$D$45*D38)</f>
        <v>37974040.238515057</v>
      </c>
      <c r="F38" s="272">
        <v>38973509</v>
      </c>
      <c r="G38" s="274">
        <f>IF(ISBLANK(F38),"-",$D$48/$F$45*F38)</f>
        <v>38165786.611726984</v>
      </c>
      <c r="H38" s="366"/>
      <c r="I38" s="275"/>
      <c r="J38" s="252"/>
      <c r="K38" s="252"/>
      <c r="L38" s="257"/>
      <c r="M38" s="257"/>
      <c r="N38" s="258"/>
    </row>
    <row r="39" spans="1:14" s="14" customFormat="1" ht="26.25" customHeight="1" x14ac:dyDescent="0.45">
      <c r="A39" s="264" t="s">
        <v>65</v>
      </c>
      <c r="B39" s="265">
        <v>1</v>
      </c>
      <c r="C39" s="276">
        <v>2</v>
      </c>
      <c r="D39" s="277">
        <v>40350496</v>
      </c>
      <c r="E39" s="278">
        <f>IF(ISBLANK(D39),"-",$D$48/$D$45*D39)</f>
        <v>37658554.09654329</v>
      </c>
      <c r="F39" s="277">
        <v>39108847</v>
      </c>
      <c r="G39" s="279">
        <f>IF(ISBLANK(F39),"-",$D$48/$F$45*F39)</f>
        <v>38298319.744128734</v>
      </c>
      <c r="H39" s="366"/>
      <c r="I39" s="493">
        <f>ABS((F43/D43*D42)-F42)/D42</f>
        <v>1.2730042654949328E-2</v>
      </c>
      <c r="J39" s="252"/>
      <c r="K39" s="252"/>
      <c r="L39" s="257"/>
      <c r="M39" s="257"/>
      <c r="N39" s="258"/>
    </row>
    <row r="40" spans="1:14" ht="26.25" customHeight="1" x14ac:dyDescent="0.45">
      <c r="A40" s="264" t="s">
        <v>66</v>
      </c>
      <c r="B40" s="265">
        <v>1</v>
      </c>
      <c r="C40" s="276">
        <v>3</v>
      </c>
      <c r="D40" s="277">
        <v>40385337</v>
      </c>
      <c r="E40" s="278">
        <f>IF(ISBLANK(D40),"-",$D$48/$D$45*D40)</f>
        <v>37691070.715007603</v>
      </c>
      <c r="F40" s="277">
        <v>39252740</v>
      </c>
      <c r="G40" s="279">
        <f>IF(ISBLANK(F40),"-",$D$48/$F$45*F40)</f>
        <v>38439230.574942589</v>
      </c>
      <c r="I40" s="493"/>
      <c r="L40" s="257"/>
      <c r="M40" s="257"/>
      <c r="N40" s="280"/>
    </row>
    <row r="41" spans="1:14" ht="27" customHeight="1" x14ac:dyDescent="0.45">
      <c r="A41" s="264" t="s">
        <v>67</v>
      </c>
      <c r="B41" s="265">
        <v>1</v>
      </c>
      <c r="C41" s="281">
        <v>4</v>
      </c>
      <c r="D41" s="282">
        <v>40548796</v>
      </c>
      <c r="E41" s="283">
        <f>IF(ISBLANK(D41),"-",$D$48/$D$45*D41)</f>
        <v>37843624.715683751</v>
      </c>
      <c r="F41" s="282">
        <v>39093351</v>
      </c>
      <c r="G41" s="284">
        <f>IF(ISBLANK(F41),"-",$D$48/$F$45*F41)</f>
        <v>38283144.89730303</v>
      </c>
      <c r="I41" s="285"/>
      <c r="L41" s="257"/>
      <c r="M41" s="257"/>
      <c r="N41" s="280"/>
    </row>
    <row r="42" spans="1:14" ht="27" customHeight="1" x14ac:dyDescent="0.45">
      <c r="A42" s="264" t="s">
        <v>68</v>
      </c>
      <c r="B42" s="265">
        <v>1</v>
      </c>
      <c r="C42" s="286" t="s">
        <v>69</v>
      </c>
      <c r="D42" s="287">
        <f>AVERAGE(D38:D41)</f>
        <v>40493290.75</v>
      </c>
      <c r="E42" s="288">
        <f>AVERAGE(E38:E41)</f>
        <v>37791822.441437423</v>
      </c>
      <c r="F42" s="287">
        <f>AVERAGE(F38:F41)</f>
        <v>39107111.75</v>
      </c>
      <c r="G42" s="289">
        <f>AVERAGE(G38:G41)</f>
        <v>38296620.457025334</v>
      </c>
      <c r="H42" s="290"/>
    </row>
    <row r="43" spans="1:14" ht="26.25" customHeight="1" x14ac:dyDescent="0.45">
      <c r="A43" s="264" t="s">
        <v>70</v>
      </c>
      <c r="B43" s="265">
        <v>1</v>
      </c>
      <c r="C43" s="291" t="s">
        <v>71</v>
      </c>
      <c r="D43" s="292">
        <v>26.83</v>
      </c>
      <c r="E43" s="280"/>
      <c r="F43" s="292">
        <v>25.57</v>
      </c>
      <c r="H43" s="290"/>
    </row>
    <row r="44" spans="1:14" ht="26.25" customHeight="1" x14ac:dyDescent="0.45">
      <c r="A44" s="264" t="s">
        <v>72</v>
      </c>
      <c r="B44" s="265">
        <v>1</v>
      </c>
      <c r="C44" s="293" t="s">
        <v>73</v>
      </c>
      <c r="D44" s="294">
        <f>D43*$B$34</f>
        <v>26.83</v>
      </c>
      <c r="E44" s="295"/>
      <c r="F44" s="294">
        <f>F43*$B$34</f>
        <v>25.57</v>
      </c>
      <c r="H44" s="290"/>
    </row>
    <row r="45" spans="1:14" ht="19.5" customHeight="1" x14ac:dyDescent="0.35">
      <c r="A45" s="264" t="s">
        <v>74</v>
      </c>
      <c r="B45" s="296">
        <f>(B44/B43)*(B42/B41)*(B40/B39)*(B38/B37)*B36</f>
        <v>50</v>
      </c>
      <c r="C45" s="293" t="s">
        <v>75</v>
      </c>
      <c r="D45" s="297">
        <f>D44*$B$30/100</f>
        <v>26.787071999999998</v>
      </c>
      <c r="E45" s="298"/>
      <c r="F45" s="297">
        <f>F44*$B$30/100</f>
        <v>25.529088000000002</v>
      </c>
      <c r="H45" s="290"/>
    </row>
    <row r="46" spans="1:14" ht="19.5" customHeight="1" x14ac:dyDescent="0.35">
      <c r="A46" s="494" t="s">
        <v>76</v>
      </c>
      <c r="B46" s="495"/>
      <c r="C46" s="293" t="s">
        <v>77</v>
      </c>
      <c r="D46" s="299">
        <f>D45/$B$45</f>
        <v>0.53574144000000001</v>
      </c>
      <c r="E46" s="300"/>
      <c r="F46" s="301">
        <f>F45/$B$45</f>
        <v>0.51058176</v>
      </c>
      <c r="H46" s="290"/>
    </row>
    <row r="47" spans="1:14" ht="27" customHeight="1" x14ac:dyDescent="0.45">
      <c r="A47" s="496"/>
      <c r="B47" s="497"/>
      <c r="C47" s="302" t="s">
        <v>78</v>
      </c>
      <c r="D47" s="303">
        <v>0.5</v>
      </c>
      <c r="E47" s="304"/>
      <c r="F47" s="300"/>
      <c r="H47" s="290"/>
    </row>
    <row r="48" spans="1:14" ht="18" x14ac:dyDescent="0.35">
      <c r="C48" s="305" t="s">
        <v>79</v>
      </c>
      <c r="D48" s="297">
        <f>D47*$B$45</f>
        <v>25</v>
      </c>
      <c r="F48" s="306"/>
      <c r="H48" s="290"/>
    </row>
    <row r="49" spans="1:12" ht="19.5" customHeight="1" x14ac:dyDescent="0.35">
      <c r="C49" s="307" t="s">
        <v>80</v>
      </c>
      <c r="D49" s="308">
        <f>D48/B34</f>
        <v>25</v>
      </c>
      <c r="F49" s="306"/>
      <c r="H49" s="290"/>
    </row>
    <row r="50" spans="1:12" ht="18" x14ac:dyDescent="0.35">
      <c r="C50" s="262" t="s">
        <v>81</v>
      </c>
      <c r="D50" s="309">
        <f>AVERAGE(E38:E41,G38:G41)</f>
        <v>38044221.449231379</v>
      </c>
      <c r="F50" s="310"/>
      <c r="H50" s="290"/>
    </row>
    <row r="51" spans="1:12" ht="18" x14ac:dyDescent="0.35">
      <c r="C51" s="264" t="s">
        <v>82</v>
      </c>
      <c r="D51" s="311">
        <f>STDEV(E38:E41,G38:G41)/D50</f>
        <v>7.7662481407988751E-3</v>
      </c>
      <c r="F51" s="310"/>
      <c r="H51" s="290"/>
    </row>
    <row r="52" spans="1:12" ht="19.5" customHeight="1" x14ac:dyDescent="0.35">
      <c r="C52" s="312" t="s">
        <v>20</v>
      </c>
      <c r="D52" s="313">
        <f>COUNT(E38:E41,G38:G41)</f>
        <v>8</v>
      </c>
      <c r="F52" s="310"/>
    </row>
    <row r="54" spans="1:12" ht="18" x14ac:dyDescent="0.35">
      <c r="A54" s="314" t="s">
        <v>1</v>
      </c>
      <c r="B54" s="315" t="s">
        <v>83</v>
      </c>
    </row>
    <row r="55" spans="1:12" ht="18" x14ac:dyDescent="0.35">
      <c r="A55" s="239" t="s">
        <v>84</v>
      </c>
      <c r="B55" s="316" t="str">
        <f>B21</f>
        <v>Each tablet contains Aceclofenac BP 100 mg and Paracetamol BP 500 mg</v>
      </c>
      <c r="G55" s="518"/>
    </row>
    <row r="56" spans="1:12" ht="26.25" customHeight="1" x14ac:dyDescent="0.45">
      <c r="A56" s="317" t="s">
        <v>123</v>
      </c>
      <c r="B56" s="318">
        <v>500</v>
      </c>
      <c r="C56" s="239" t="str">
        <f>B26</f>
        <v>PARACETAMOL</v>
      </c>
      <c r="H56" s="319"/>
    </row>
    <row r="57" spans="1:12" ht="24" customHeight="1" x14ac:dyDescent="0.35">
      <c r="A57" s="316" t="s">
        <v>134</v>
      </c>
      <c r="B57" s="407">
        <f>Uniformity!C46</f>
        <v>889.10149999999999</v>
      </c>
      <c r="H57" s="319"/>
    </row>
    <row r="58" spans="1:12" ht="19.5" customHeight="1" x14ac:dyDescent="0.35">
      <c r="H58" s="319"/>
    </row>
    <row r="59" spans="1:12" s="14" customFormat="1" ht="27" customHeight="1" x14ac:dyDescent="0.45">
      <c r="A59" s="262" t="s">
        <v>85</v>
      </c>
      <c r="B59" s="263">
        <v>200</v>
      </c>
      <c r="C59" s="239"/>
      <c r="D59" s="320" t="s">
        <v>86</v>
      </c>
      <c r="E59" s="321" t="s">
        <v>60</v>
      </c>
      <c r="F59" s="321" t="s">
        <v>61</v>
      </c>
      <c r="G59" s="321" t="s">
        <v>87</v>
      </c>
      <c r="H59" s="266" t="s">
        <v>88</v>
      </c>
      <c r="J59" s="366"/>
      <c r="L59" s="252"/>
    </row>
    <row r="60" spans="1:12" s="14" customFormat="1" ht="26.25" customHeight="1" x14ac:dyDescent="0.45">
      <c r="A60" s="264" t="s">
        <v>89</v>
      </c>
      <c r="B60" s="265">
        <v>1</v>
      </c>
      <c r="C60" s="498" t="s">
        <v>90</v>
      </c>
      <c r="D60" s="501">
        <v>178.76</v>
      </c>
      <c r="E60" s="322">
        <v>1</v>
      </c>
      <c r="F60" s="323">
        <v>36930738</v>
      </c>
      <c r="G60" s="408">
        <f>IF(ISBLANK(F60),"-",(F60/$D$50*$D$47*$B$68)*($B$57/$D$60))</f>
        <v>482.81447546272528</v>
      </c>
      <c r="H60" s="324">
        <f t="shared" ref="H60:H71" si="0">IF(ISBLANK(F60),"-",G60/$B$56)</f>
        <v>0.96562895092545054</v>
      </c>
      <c r="J60" s="366"/>
      <c r="L60" s="252"/>
    </row>
    <row r="61" spans="1:12" s="14" customFormat="1" ht="26.25" customHeight="1" x14ac:dyDescent="0.45">
      <c r="A61" s="264" t="s">
        <v>91</v>
      </c>
      <c r="B61" s="265">
        <v>1</v>
      </c>
      <c r="C61" s="499"/>
      <c r="D61" s="502"/>
      <c r="E61" s="325">
        <v>2</v>
      </c>
      <c r="F61" s="277">
        <v>36688126</v>
      </c>
      <c r="G61" s="409">
        <f>IF(ISBLANK(F61),"-",(F61/$D$50*$D$47*$B$68)*($B$57/$D$60))</f>
        <v>479.64268437853514</v>
      </c>
      <c r="H61" s="326">
        <f t="shared" si="0"/>
        <v>0.95928536875707027</v>
      </c>
      <c r="J61" s="366"/>
      <c r="L61" s="252"/>
    </row>
    <row r="62" spans="1:12" s="14" customFormat="1" ht="26.25" customHeight="1" x14ac:dyDescent="0.45">
      <c r="A62" s="264" t="s">
        <v>92</v>
      </c>
      <c r="B62" s="265">
        <v>1</v>
      </c>
      <c r="C62" s="499"/>
      <c r="D62" s="502"/>
      <c r="E62" s="325">
        <v>3</v>
      </c>
      <c r="F62" s="327">
        <v>36825679</v>
      </c>
      <c r="G62" s="409">
        <f>IF(ISBLANK(F62),"-",(F62/$D$50*$D$47*$B$68)*($B$57/$D$60))</f>
        <v>481.44098528287464</v>
      </c>
      <c r="H62" s="326">
        <f t="shared" si="0"/>
        <v>0.96288197056574931</v>
      </c>
      <c r="J62" s="366"/>
      <c r="L62" s="252"/>
    </row>
    <row r="63" spans="1:12" ht="27" customHeight="1" x14ac:dyDescent="0.45">
      <c r="A63" s="264" t="s">
        <v>93</v>
      </c>
      <c r="B63" s="265">
        <v>1</v>
      </c>
      <c r="C63" s="500"/>
      <c r="D63" s="503"/>
      <c r="E63" s="328">
        <v>4</v>
      </c>
      <c r="F63" s="329"/>
      <c r="G63" s="409" t="str">
        <f>IF(ISBLANK(F63),"-",(F63/$D$50*$D$47*$B$68)*($B$57/$D$60))</f>
        <v>-</v>
      </c>
      <c r="H63" s="326" t="str">
        <f t="shared" si="0"/>
        <v>-</v>
      </c>
    </row>
    <row r="64" spans="1:12" ht="26.25" customHeight="1" x14ac:dyDescent="0.45">
      <c r="A64" s="264" t="s">
        <v>94</v>
      </c>
      <c r="B64" s="265">
        <v>1</v>
      </c>
      <c r="C64" s="498" t="s">
        <v>95</v>
      </c>
      <c r="D64" s="501">
        <v>174.99</v>
      </c>
      <c r="E64" s="322">
        <v>1</v>
      </c>
      <c r="F64" s="323">
        <v>35916389</v>
      </c>
      <c r="G64" s="410">
        <f>IF(ISBLANK(F64),"-",(F64/$D$50*$D$47*$B$68)*($B$57/$D$64))</f>
        <v>479.66947009291044</v>
      </c>
      <c r="H64" s="330">
        <f t="shared" si="0"/>
        <v>0.95933894018582089</v>
      </c>
    </row>
    <row r="65" spans="1:8" ht="26.25" customHeight="1" x14ac:dyDescent="0.45">
      <c r="A65" s="264" t="s">
        <v>96</v>
      </c>
      <c r="B65" s="265">
        <v>1</v>
      </c>
      <c r="C65" s="499"/>
      <c r="D65" s="502"/>
      <c r="E65" s="325">
        <v>2</v>
      </c>
      <c r="F65" s="277">
        <v>35951885</v>
      </c>
      <c r="G65" s="411">
        <f>IF(ISBLANK(F65),"-",(F65/$D$50*$D$47*$B$68)*($B$57/$D$64))</f>
        <v>480.14352519656842</v>
      </c>
      <c r="H65" s="331">
        <f t="shared" si="0"/>
        <v>0.96028705039313689</v>
      </c>
    </row>
    <row r="66" spans="1:8" ht="26.25" customHeight="1" x14ac:dyDescent="0.45">
      <c r="A66" s="264" t="s">
        <v>97</v>
      </c>
      <c r="B66" s="265">
        <v>1</v>
      </c>
      <c r="C66" s="499"/>
      <c r="D66" s="502"/>
      <c r="E66" s="325">
        <v>3</v>
      </c>
      <c r="F66" s="277">
        <v>35968553</v>
      </c>
      <c r="G66" s="411">
        <f>IF(ISBLANK(F66),"-",(F66/$D$50*$D$47*$B$68)*($B$57/$D$64))</f>
        <v>480.36612916512189</v>
      </c>
      <c r="H66" s="331">
        <f t="shared" si="0"/>
        <v>0.96073225833024378</v>
      </c>
    </row>
    <row r="67" spans="1:8" ht="27" customHeight="1" x14ac:dyDescent="0.45">
      <c r="A67" s="264" t="s">
        <v>98</v>
      </c>
      <c r="B67" s="265">
        <v>1</v>
      </c>
      <c r="C67" s="500"/>
      <c r="D67" s="503"/>
      <c r="E67" s="328">
        <v>4</v>
      </c>
      <c r="F67" s="329"/>
      <c r="G67" s="412" t="str">
        <f>IF(ISBLANK(F67),"-",(F67/$D$50*$D$47*$B$68)*($B$57/$D$64))</f>
        <v>-</v>
      </c>
      <c r="H67" s="332" t="str">
        <f t="shared" si="0"/>
        <v>-</v>
      </c>
    </row>
    <row r="68" spans="1:8" ht="26.25" customHeight="1" x14ac:dyDescent="0.5">
      <c r="A68" s="264" t="s">
        <v>99</v>
      </c>
      <c r="B68" s="333">
        <f>(B67/B66)*(B65/B64)*(B63/B62)*(B61/B60)*B59</f>
        <v>200</v>
      </c>
      <c r="C68" s="498" t="s">
        <v>100</v>
      </c>
      <c r="D68" s="501">
        <v>177.17</v>
      </c>
      <c r="E68" s="322">
        <v>1</v>
      </c>
      <c r="F68" s="323">
        <v>36002860</v>
      </c>
      <c r="G68" s="410">
        <f>IF(ISBLANK(F68),"-",(F68/$D$50*$D$47*$B$68)*($B$57/$D$68))</f>
        <v>474.9079704636876</v>
      </c>
      <c r="H68" s="326">
        <f t="shared" si="0"/>
        <v>0.9498159409273752</v>
      </c>
    </row>
    <row r="69" spans="1:8" ht="27" customHeight="1" x14ac:dyDescent="0.5">
      <c r="A69" s="312" t="s">
        <v>101</v>
      </c>
      <c r="B69" s="334">
        <f>(D47*B68)/B56*B57</f>
        <v>177.8203</v>
      </c>
      <c r="C69" s="499"/>
      <c r="D69" s="502"/>
      <c r="E69" s="325">
        <v>2</v>
      </c>
      <c r="F69" s="277">
        <v>36400328</v>
      </c>
      <c r="G69" s="411">
        <f>IF(ISBLANK(F69),"-",(F69/$D$50*$D$47*$B$68)*($B$57/$D$68))</f>
        <v>480.15090730826779</v>
      </c>
      <c r="H69" s="326">
        <f t="shared" si="0"/>
        <v>0.96030181461653563</v>
      </c>
    </row>
    <row r="70" spans="1:8" ht="26.25" customHeight="1" x14ac:dyDescent="0.45">
      <c r="A70" s="511" t="s">
        <v>76</v>
      </c>
      <c r="B70" s="512"/>
      <c r="C70" s="499"/>
      <c r="D70" s="502"/>
      <c r="E70" s="325">
        <v>3</v>
      </c>
      <c r="F70" s="277">
        <v>36438058</v>
      </c>
      <c r="G70" s="411">
        <f>IF(ISBLANK(F70),"-",(F70/$D$50*$D$47*$B$68)*($B$57/$D$68))</f>
        <v>480.64859770635263</v>
      </c>
      <c r="H70" s="326">
        <f t="shared" si="0"/>
        <v>0.96129719541270531</v>
      </c>
    </row>
    <row r="71" spans="1:8" ht="27" customHeight="1" x14ac:dyDescent="0.45">
      <c r="A71" s="513"/>
      <c r="B71" s="514"/>
      <c r="C71" s="510"/>
      <c r="D71" s="503"/>
      <c r="E71" s="328">
        <v>4</v>
      </c>
      <c r="F71" s="329"/>
      <c r="G71" s="412" t="str">
        <f>IF(ISBLANK(F71),"-",(F71/$D$50*$D$47*$B$68)*($B$57/$D$68))</f>
        <v>-</v>
      </c>
      <c r="H71" s="335" t="str">
        <f t="shared" si="0"/>
        <v>-</v>
      </c>
    </row>
    <row r="72" spans="1:8" ht="26.25" customHeight="1" x14ac:dyDescent="0.45">
      <c r="A72" s="336"/>
      <c r="B72" s="336"/>
      <c r="C72" s="336"/>
      <c r="D72" s="336"/>
      <c r="E72" s="336"/>
      <c r="F72" s="338" t="s">
        <v>69</v>
      </c>
      <c r="G72" s="417">
        <f>AVERAGE(G60:G71)</f>
        <v>479.97608278411604</v>
      </c>
      <c r="H72" s="339">
        <f>AVERAGE(H60:H71)</f>
        <v>0.95995216556823193</v>
      </c>
    </row>
    <row r="73" spans="1:8" ht="26.25" customHeight="1" x14ac:dyDescent="0.45">
      <c r="C73" s="336"/>
      <c r="D73" s="336"/>
      <c r="E73" s="336"/>
      <c r="F73" s="340" t="s">
        <v>82</v>
      </c>
      <c r="G73" s="413">
        <f>STDEV(G60:G71)/G72</f>
        <v>4.4658241785858668E-3</v>
      </c>
      <c r="H73" s="413">
        <f>STDEV(H60:H71)/H72</f>
        <v>4.4658241785858702E-3</v>
      </c>
    </row>
    <row r="74" spans="1:8" ht="27" customHeight="1" x14ac:dyDescent="0.45">
      <c r="A74" s="336"/>
      <c r="B74" s="336"/>
      <c r="C74" s="337"/>
      <c r="D74" s="337"/>
      <c r="E74" s="341"/>
      <c r="F74" s="342" t="s">
        <v>20</v>
      </c>
      <c r="G74" s="343">
        <f>COUNT(G60:G71)</f>
        <v>9</v>
      </c>
      <c r="H74" s="343">
        <f>COUNT(H60:H71)</f>
        <v>9</v>
      </c>
    </row>
    <row r="76" spans="1:8" ht="26.25" customHeight="1" x14ac:dyDescent="0.45">
      <c r="A76" s="248" t="s">
        <v>102</v>
      </c>
      <c r="B76" s="344" t="s">
        <v>103</v>
      </c>
      <c r="C76" s="506" t="str">
        <f>B20</f>
        <v>Aceclofenac BP, Paracetamol BP</v>
      </c>
      <c r="D76" s="506"/>
      <c r="E76" s="345" t="s">
        <v>104</v>
      </c>
      <c r="F76" s="345"/>
      <c r="G76" s="346">
        <f>H72</f>
        <v>0.95995216556823193</v>
      </c>
      <c r="H76" s="347"/>
    </row>
    <row r="77" spans="1:8" ht="18" x14ac:dyDescent="0.35">
      <c r="A77" s="247" t="s">
        <v>105</v>
      </c>
      <c r="B77" s="247" t="s">
        <v>106</v>
      </c>
    </row>
    <row r="78" spans="1:8" ht="18" x14ac:dyDescent="0.35">
      <c r="A78" s="247"/>
      <c r="B78" s="247"/>
    </row>
    <row r="79" spans="1:8" ht="26.25" customHeight="1" x14ac:dyDescent="0.45">
      <c r="A79" s="248" t="s">
        <v>4</v>
      </c>
      <c r="B79" s="492" t="str">
        <f>B26</f>
        <v>PARACETAMOL</v>
      </c>
      <c r="C79" s="492"/>
    </row>
    <row r="80" spans="1:8" ht="26.25" customHeight="1" x14ac:dyDescent="0.45">
      <c r="A80" s="249" t="s">
        <v>46</v>
      </c>
      <c r="B80" s="492" t="str">
        <f>B27</f>
        <v>WRS/P1-3</v>
      </c>
      <c r="C80" s="492"/>
    </row>
    <row r="81" spans="1:12" ht="27" customHeight="1" x14ac:dyDescent="0.45">
      <c r="A81" s="249" t="s">
        <v>6</v>
      </c>
      <c r="B81" s="348">
        <f>B28</f>
        <v>99.84</v>
      </c>
    </row>
    <row r="82" spans="1:12" s="14" customFormat="1" ht="27" customHeight="1" x14ac:dyDescent="0.5">
      <c r="A82" s="249" t="s">
        <v>47</v>
      </c>
      <c r="B82" s="251">
        <v>0</v>
      </c>
      <c r="C82" s="483" t="s">
        <v>48</v>
      </c>
      <c r="D82" s="484"/>
      <c r="E82" s="484"/>
      <c r="F82" s="484"/>
      <c r="G82" s="485"/>
      <c r="I82" s="252"/>
      <c r="J82" s="252"/>
      <c r="K82" s="252"/>
      <c r="L82" s="252"/>
    </row>
    <row r="83" spans="1:12" s="14" customFormat="1" ht="19.5" customHeight="1" x14ac:dyDescent="0.35">
      <c r="A83" s="249" t="s">
        <v>49</v>
      </c>
      <c r="B83" s="253">
        <f>B81-B82</f>
        <v>99.84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14" customFormat="1" ht="27" customHeight="1" x14ac:dyDescent="0.45">
      <c r="A84" s="249" t="s">
        <v>50</v>
      </c>
      <c r="B84" s="256">
        <v>1</v>
      </c>
      <c r="C84" s="486" t="s">
        <v>107</v>
      </c>
      <c r="D84" s="487"/>
      <c r="E84" s="487"/>
      <c r="F84" s="487"/>
      <c r="G84" s="487"/>
      <c r="H84" s="488"/>
      <c r="I84" s="252"/>
      <c r="J84" s="252"/>
      <c r="K84" s="252"/>
      <c r="L84" s="252"/>
    </row>
    <row r="85" spans="1:12" s="14" customFormat="1" ht="27" customHeight="1" x14ac:dyDescent="0.45">
      <c r="A85" s="249" t="s">
        <v>52</v>
      </c>
      <c r="B85" s="256">
        <v>1</v>
      </c>
      <c r="C85" s="486" t="s">
        <v>108</v>
      </c>
      <c r="D85" s="487"/>
      <c r="E85" s="487"/>
      <c r="F85" s="487"/>
      <c r="G85" s="487"/>
      <c r="H85" s="488"/>
      <c r="I85" s="252"/>
      <c r="J85" s="252"/>
      <c r="K85" s="252"/>
      <c r="L85" s="252"/>
    </row>
    <row r="86" spans="1:12" s="14" customFormat="1" ht="18" x14ac:dyDescent="0.35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14" customFormat="1" ht="18" x14ac:dyDescent="0.35">
      <c r="A87" s="249" t="s">
        <v>54</v>
      </c>
      <c r="B87" s="261">
        <f>B84/B85</f>
        <v>1</v>
      </c>
      <c r="C87" s="239" t="s">
        <v>55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5">
      <c r="A88" s="247"/>
      <c r="B88" s="247"/>
    </row>
    <row r="89" spans="1:12" ht="27" customHeight="1" x14ac:dyDescent="0.45">
      <c r="A89" s="262" t="s">
        <v>56</v>
      </c>
      <c r="B89" s="263">
        <v>100</v>
      </c>
      <c r="D89" s="349" t="s">
        <v>57</v>
      </c>
      <c r="E89" s="350"/>
      <c r="F89" s="489" t="s">
        <v>58</v>
      </c>
      <c r="G89" s="491"/>
    </row>
    <row r="90" spans="1:12" ht="27" customHeight="1" x14ac:dyDescent="0.45">
      <c r="A90" s="264" t="s">
        <v>59</v>
      </c>
      <c r="B90" s="265">
        <v>20</v>
      </c>
      <c r="C90" s="351" t="s">
        <v>60</v>
      </c>
      <c r="D90" s="267" t="s">
        <v>61</v>
      </c>
      <c r="E90" s="268" t="s">
        <v>62</v>
      </c>
      <c r="F90" s="267" t="s">
        <v>61</v>
      </c>
      <c r="G90" s="352" t="s">
        <v>62</v>
      </c>
      <c r="I90" s="270" t="s">
        <v>63</v>
      </c>
    </row>
    <row r="91" spans="1:12" ht="26.25" customHeight="1" x14ac:dyDescent="0.45">
      <c r="A91" s="264" t="s">
        <v>64</v>
      </c>
      <c r="B91" s="265">
        <v>50</v>
      </c>
      <c r="C91" s="353">
        <v>1</v>
      </c>
      <c r="D91" s="272">
        <v>33584677</v>
      </c>
      <c r="E91" s="273">
        <f>IF(ISBLANK(D91),"-",$D$101/$D$98*D91)</f>
        <v>33793950.771304406</v>
      </c>
      <c r="F91" s="272">
        <v>31081312</v>
      </c>
      <c r="G91" s="274">
        <f>IF(ISBLANK(F91),"-",$D$101/$F$98*F91)</f>
        <v>33819060.742701724</v>
      </c>
      <c r="I91" s="275"/>
    </row>
    <row r="92" spans="1:12" ht="26.25" customHeight="1" x14ac:dyDescent="0.45">
      <c r="A92" s="264" t="s">
        <v>65</v>
      </c>
      <c r="B92" s="265">
        <v>1</v>
      </c>
      <c r="C92" s="337">
        <v>2</v>
      </c>
      <c r="D92" s="277">
        <v>33550092</v>
      </c>
      <c r="E92" s="278">
        <f>IF(ISBLANK(D92),"-",$D$101/$D$98*D92)</f>
        <v>33759150.264292665</v>
      </c>
      <c r="F92" s="277">
        <v>31062028</v>
      </c>
      <c r="G92" s="279">
        <f>IF(ISBLANK(F92),"-",$D$101/$F$98*F92)</f>
        <v>33798078.141730368</v>
      </c>
      <c r="I92" s="493">
        <f>ABS((F96/D96*D95)-F95)/D95</f>
        <v>2.0282383467083906E-3</v>
      </c>
    </row>
    <row r="93" spans="1:12" ht="26.25" customHeight="1" x14ac:dyDescent="0.45">
      <c r="A93" s="264" t="s">
        <v>66</v>
      </c>
      <c r="B93" s="265">
        <v>1</v>
      </c>
      <c r="C93" s="337">
        <v>3</v>
      </c>
      <c r="D93" s="277">
        <v>33557729</v>
      </c>
      <c r="E93" s="278">
        <f>IF(ISBLANK(D93),"-",$D$101/$D$98*D93)</f>
        <v>33766834.852178998</v>
      </c>
      <c r="F93" s="277">
        <v>31139714</v>
      </c>
      <c r="G93" s="279">
        <f>IF(ISBLANK(F93),"-",$D$101/$F$98*F93)</f>
        <v>33882606.991505355</v>
      </c>
      <c r="I93" s="493"/>
    </row>
    <row r="94" spans="1:12" ht="27" customHeight="1" x14ac:dyDescent="0.45">
      <c r="A94" s="264" t="s">
        <v>67</v>
      </c>
      <c r="B94" s="265">
        <v>1</v>
      </c>
      <c r="C94" s="354">
        <v>4</v>
      </c>
      <c r="D94" s="282">
        <v>33598448</v>
      </c>
      <c r="E94" s="283">
        <f>IF(ISBLANK(D94),"-",$D$101/$D$98*D94)</f>
        <v>33807807.581541754</v>
      </c>
      <c r="F94" s="528">
        <v>31178090</v>
      </c>
      <c r="G94" s="284">
        <f>IF(ISBLANK(F94),"-",$D$101/$F$98*F94)</f>
        <v>33924363.281428441</v>
      </c>
      <c r="I94" s="285"/>
    </row>
    <row r="95" spans="1:12" ht="27" customHeight="1" x14ac:dyDescent="0.45">
      <c r="A95" s="264" t="s">
        <v>68</v>
      </c>
      <c r="B95" s="265">
        <v>1</v>
      </c>
      <c r="C95" s="355" t="s">
        <v>69</v>
      </c>
      <c r="D95" s="356">
        <f>AVERAGE(D91:D94)</f>
        <v>33572736.5</v>
      </c>
      <c r="E95" s="288">
        <f>AVERAGE(E91:E94)</f>
        <v>33781935.867329456</v>
      </c>
      <c r="F95" s="357">
        <f>AVERAGE(F91:F94)</f>
        <v>31115286</v>
      </c>
      <c r="G95" s="358">
        <f>AVERAGE(G91:G94)</f>
        <v>33856027.289341472</v>
      </c>
    </row>
    <row r="96" spans="1:12" ht="26.25" customHeight="1" x14ac:dyDescent="0.45">
      <c r="A96" s="264" t="s">
        <v>70</v>
      </c>
      <c r="B96" s="250">
        <v>1</v>
      </c>
      <c r="C96" s="359" t="s">
        <v>109</v>
      </c>
      <c r="D96" s="360">
        <v>27.65</v>
      </c>
      <c r="E96" s="280"/>
      <c r="F96" s="292">
        <v>25.57</v>
      </c>
    </row>
    <row r="97" spans="1:10" ht="26.25" customHeight="1" x14ac:dyDescent="0.45">
      <c r="A97" s="264" t="s">
        <v>72</v>
      </c>
      <c r="B97" s="250">
        <v>1</v>
      </c>
      <c r="C97" s="361" t="s">
        <v>110</v>
      </c>
      <c r="D97" s="362">
        <f>D96*$B$87</f>
        <v>27.65</v>
      </c>
      <c r="E97" s="295"/>
      <c r="F97" s="294">
        <f>F96*$B$87</f>
        <v>25.57</v>
      </c>
    </row>
    <row r="98" spans="1:10" ht="19.5" customHeight="1" x14ac:dyDescent="0.35">
      <c r="A98" s="264" t="s">
        <v>74</v>
      </c>
      <c r="B98" s="363">
        <f>(B97/B96)*(B95/B94)*(B93/B92)*(B91/B90)*B89</f>
        <v>250</v>
      </c>
      <c r="C98" s="361" t="s">
        <v>111</v>
      </c>
      <c r="D98" s="364">
        <f>D97*$B$83/100</f>
        <v>27.60576</v>
      </c>
      <c r="E98" s="298"/>
      <c r="F98" s="297">
        <f>F97*$B$83/100</f>
        <v>25.529088000000002</v>
      </c>
    </row>
    <row r="99" spans="1:10" ht="19.5" customHeight="1" x14ac:dyDescent="0.35">
      <c r="A99" s="494" t="s">
        <v>76</v>
      </c>
      <c r="B99" s="508"/>
      <c r="C99" s="361" t="s">
        <v>112</v>
      </c>
      <c r="D99" s="365">
        <f>D98/$B$98</f>
        <v>0.11042304</v>
      </c>
      <c r="E99" s="298"/>
      <c r="F99" s="301">
        <f>F98/$B$98</f>
        <v>0.10211635200000001</v>
      </c>
      <c r="G99" s="366"/>
      <c r="H99" s="290"/>
    </row>
    <row r="100" spans="1:10" ht="19.5" customHeight="1" x14ac:dyDescent="0.35">
      <c r="A100" s="496"/>
      <c r="B100" s="509"/>
      <c r="C100" s="361" t="s">
        <v>78</v>
      </c>
      <c r="D100" s="367">
        <f>$B$56/$B$116</f>
        <v>0.1111111111111111</v>
      </c>
      <c r="F100" s="306"/>
      <c r="G100" s="368"/>
      <c r="H100" s="290"/>
    </row>
    <row r="101" spans="1:10" ht="18" x14ac:dyDescent="0.35">
      <c r="C101" s="361" t="s">
        <v>79</v>
      </c>
      <c r="D101" s="362">
        <f>D100*$B$98</f>
        <v>27.777777777777775</v>
      </c>
      <c r="F101" s="306"/>
      <c r="G101" s="366"/>
      <c r="H101" s="290"/>
    </row>
    <row r="102" spans="1:10" ht="19.5" customHeight="1" x14ac:dyDescent="0.35">
      <c r="C102" s="369" t="s">
        <v>80</v>
      </c>
      <c r="D102" s="370">
        <f>D101/B34</f>
        <v>27.777777777777775</v>
      </c>
      <c r="F102" s="310"/>
      <c r="G102" s="366"/>
      <c r="H102" s="290"/>
      <c r="J102" s="371"/>
    </row>
    <row r="103" spans="1:10" ht="18" x14ac:dyDescent="0.35">
      <c r="C103" s="372" t="s">
        <v>113</v>
      </c>
      <c r="D103" s="373">
        <f>AVERAGE(E91:E94,G91:G94)</f>
        <v>33818981.578335464</v>
      </c>
      <c r="F103" s="310"/>
      <c r="G103" s="374"/>
      <c r="H103" s="290"/>
      <c r="J103" s="375"/>
    </row>
    <row r="104" spans="1:10" ht="18" x14ac:dyDescent="0.35">
      <c r="C104" s="340" t="s">
        <v>82</v>
      </c>
      <c r="D104" s="376">
        <f>STDEV(E91:E94,G91:G94)/D103</f>
        <v>1.6816573907945886E-3</v>
      </c>
      <c r="F104" s="310"/>
      <c r="G104" s="366"/>
      <c r="H104" s="290"/>
      <c r="J104" s="375"/>
    </row>
    <row r="105" spans="1:10" ht="19.5" customHeight="1" x14ac:dyDescent="0.35">
      <c r="C105" s="342" t="s">
        <v>20</v>
      </c>
      <c r="D105" s="377">
        <f>COUNT(E91:E94,G91:G94)</f>
        <v>8</v>
      </c>
      <c r="F105" s="310"/>
      <c r="G105" s="529">
        <f>D113/D103*D100*B116/B56</f>
        <v>0.92360661209294093</v>
      </c>
      <c r="H105" s="290"/>
      <c r="J105" s="375"/>
    </row>
    <row r="106" spans="1:10" ht="19.5" customHeight="1" x14ac:dyDescent="0.35">
      <c r="A106" s="314"/>
      <c r="B106" s="314"/>
      <c r="C106" s="314"/>
      <c r="D106" s="314"/>
      <c r="E106" s="314"/>
    </row>
    <row r="107" spans="1:10" ht="26.25" customHeight="1" x14ac:dyDescent="0.45">
      <c r="A107" s="262" t="s">
        <v>114</v>
      </c>
      <c r="B107" s="263">
        <v>900</v>
      </c>
      <c r="C107" s="378" t="s">
        <v>135</v>
      </c>
      <c r="D107" s="379" t="s">
        <v>61</v>
      </c>
      <c r="E107" s="380" t="s">
        <v>116</v>
      </c>
      <c r="F107" s="381" t="s">
        <v>117</v>
      </c>
    </row>
    <row r="108" spans="1:10" ht="26.25" customHeight="1" x14ac:dyDescent="0.45">
      <c r="A108" s="264" t="s">
        <v>118</v>
      </c>
      <c r="B108" s="265">
        <v>5</v>
      </c>
      <c r="C108" s="382">
        <v>1</v>
      </c>
      <c r="D108" s="383">
        <v>33058780</v>
      </c>
      <c r="E108" s="414">
        <f t="shared" ref="E108:E113" si="1">IF(ISBLANK(D108),"-",D108/$D$103*$D$100*$B$116)</f>
        <v>488.7607263309423</v>
      </c>
      <c r="F108" s="384">
        <f t="shared" ref="F108:F113" si="2">IF(ISBLANK(D108), "-", E108/$B$56)</f>
        <v>0.97752145266188462</v>
      </c>
    </row>
    <row r="109" spans="1:10" ht="26.25" customHeight="1" x14ac:dyDescent="0.45">
      <c r="A109" s="264" t="s">
        <v>91</v>
      </c>
      <c r="B109" s="265">
        <v>25</v>
      </c>
      <c r="C109" s="382">
        <v>2</v>
      </c>
      <c r="D109" s="383">
        <v>31919770</v>
      </c>
      <c r="E109" s="415">
        <f t="shared" si="1"/>
        <v>471.92092295954728</v>
      </c>
      <c r="F109" s="385">
        <f t="shared" si="2"/>
        <v>0.94384184591909459</v>
      </c>
    </row>
    <row r="110" spans="1:10" ht="26.25" customHeight="1" x14ac:dyDescent="0.45">
      <c r="A110" s="264" t="s">
        <v>92</v>
      </c>
      <c r="B110" s="265">
        <v>1</v>
      </c>
      <c r="C110" s="382">
        <v>3</v>
      </c>
      <c r="D110" s="383">
        <v>32722721</v>
      </c>
      <c r="E110" s="415">
        <f t="shared" si="1"/>
        <v>483.79222958272436</v>
      </c>
      <c r="F110" s="385">
        <f t="shared" si="2"/>
        <v>0.96758445916544877</v>
      </c>
    </row>
    <row r="111" spans="1:10" ht="26.25" customHeight="1" x14ac:dyDescent="0.45">
      <c r="A111" s="264" t="s">
        <v>93</v>
      </c>
      <c r="B111" s="265">
        <v>1</v>
      </c>
      <c r="C111" s="382">
        <v>4</v>
      </c>
      <c r="D111" s="383">
        <v>33127415</v>
      </c>
      <c r="E111" s="415">
        <f t="shared" si="1"/>
        <v>489.77546711846458</v>
      </c>
      <c r="F111" s="385">
        <f t="shared" si="2"/>
        <v>0.97955093423692918</v>
      </c>
    </row>
    <row r="112" spans="1:10" ht="26.25" customHeight="1" x14ac:dyDescent="0.45">
      <c r="A112" s="264" t="s">
        <v>94</v>
      </c>
      <c r="B112" s="265">
        <v>1</v>
      </c>
      <c r="C112" s="382">
        <v>5</v>
      </c>
      <c r="D112" s="383">
        <v>32461219</v>
      </c>
      <c r="E112" s="415">
        <f t="shared" si="1"/>
        <v>479.92602800308379</v>
      </c>
      <c r="F112" s="385">
        <f t="shared" si="2"/>
        <v>0.95985205600616752</v>
      </c>
    </row>
    <row r="113" spans="1:10" ht="26.25" customHeight="1" x14ac:dyDescent="0.45">
      <c r="A113" s="264" t="s">
        <v>96</v>
      </c>
      <c r="B113" s="265">
        <v>1</v>
      </c>
      <c r="C113" s="386">
        <v>6</v>
      </c>
      <c r="D113" s="387">
        <v>31235435</v>
      </c>
      <c r="E113" s="416">
        <f t="shared" si="1"/>
        <v>461.80330604647048</v>
      </c>
      <c r="F113" s="388">
        <f t="shared" si="2"/>
        <v>0.92360661209294093</v>
      </c>
    </row>
    <row r="114" spans="1:10" ht="26.25" customHeight="1" x14ac:dyDescent="0.45">
      <c r="A114" s="264" t="s">
        <v>97</v>
      </c>
      <c r="B114" s="265">
        <v>1</v>
      </c>
      <c r="C114" s="382"/>
      <c r="D114" s="337"/>
      <c r="E114" s="238"/>
      <c r="F114" s="389"/>
    </row>
    <row r="115" spans="1:10" ht="26.25" customHeight="1" x14ac:dyDescent="0.45">
      <c r="A115" s="264" t="s">
        <v>98</v>
      </c>
      <c r="B115" s="265">
        <v>1</v>
      </c>
      <c r="C115" s="382"/>
      <c r="D115" s="390" t="s">
        <v>69</v>
      </c>
      <c r="E115" s="418">
        <f>AVERAGE(E108:E113)</f>
        <v>479.32978000687211</v>
      </c>
      <c r="F115" s="391">
        <f>AVERAGE(F108:F113)</f>
        <v>0.95865956001374431</v>
      </c>
    </row>
    <row r="116" spans="1:10" ht="27" customHeight="1" x14ac:dyDescent="0.45">
      <c r="A116" s="264" t="s">
        <v>99</v>
      </c>
      <c r="B116" s="296">
        <f>(B115/B114)*(B113/B112)*(B111/B110)*(B109/B108)*B107</f>
        <v>4500</v>
      </c>
      <c r="C116" s="392"/>
      <c r="D116" s="355" t="s">
        <v>82</v>
      </c>
      <c r="E116" s="393">
        <f>STDEV(E108:E113)/E115</f>
        <v>2.2477163245725719E-2</v>
      </c>
      <c r="F116" s="393">
        <f>STDEV(F108:F113)/F115</f>
        <v>2.247716324572574E-2</v>
      </c>
      <c r="I116" s="238"/>
    </row>
    <row r="117" spans="1:10" ht="27" customHeight="1" x14ac:dyDescent="0.45">
      <c r="A117" s="494" t="s">
        <v>76</v>
      </c>
      <c r="B117" s="495"/>
      <c r="C117" s="394"/>
      <c r="D117" s="395" t="s">
        <v>20</v>
      </c>
      <c r="E117" s="396">
        <f>COUNT(E108:E113)</f>
        <v>6</v>
      </c>
      <c r="F117" s="396">
        <f>COUNT(F108:F113)</f>
        <v>6</v>
      </c>
      <c r="I117" s="238"/>
      <c r="J117" s="375"/>
    </row>
    <row r="118" spans="1:10" ht="19.5" customHeight="1" x14ac:dyDescent="0.35">
      <c r="A118" s="496"/>
      <c r="B118" s="497"/>
      <c r="C118" s="238"/>
      <c r="D118" s="238"/>
      <c r="E118" s="238"/>
      <c r="F118" s="337"/>
      <c r="G118" s="238"/>
      <c r="H118" s="238"/>
      <c r="I118" s="238"/>
    </row>
    <row r="119" spans="1:10" ht="18" x14ac:dyDescent="0.35">
      <c r="A119" s="405"/>
      <c r="B119" s="260"/>
      <c r="C119" s="238"/>
      <c r="D119" s="238"/>
      <c r="E119" s="238"/>
      <c r="F119" s="337"/>
      <c r="G119" s="238"/>
      <c r="H119" s="238"/>
      <c r="I119" s="238"/>
    </row>
    <row r="120" spans="1:10" ht="26.25" customHeight="1" x14ac:dyDescent="0.45">
      <c r="A120" s="248" t="s">
        <v>102</v>
      </c>
      <c r="B120" s="344" t="s">
        <v>119</v>
      </c>
      <c r="C120" s="506" t="str">
        <f>B20</f>
        <v>Aceclofenac BP, Paracetamol BP</v>
      </c>
      <c r="D120" s="506"/>
      <c r="E120" s="345" t="s">
        <v>120</v>
      </c>
      <c r="F120" s="345"/>
      <c r="G120" s="346">
        <f>F115</f>
        <v>0.95865956001374431</v>
      </c>
      <c r="H120" s="238"/>
      <c r="I120" s="238"/>
    </row>
    <row r="121" spans="1:10" ht="19.5" customHeight="1" x14ac:dyDescent="0.35">
      <c r="A121" s="397"/>
      <c r="B121" s="397"/>
      <c r="C121" s="398"/>
      <c r="D121" s="398"/>
      <c r="E121" s="398"/>
      <c r="F121" s="398"/>
      <c r="G121" s="398"/>
      <c r="H121" s="398"/>
    </row>
    <row r="122" spans="1:10" ht="18" x14ac:dyDescent="0.35">
      <c r="B122" s="507" t="s">
        <v>26</v>
      </c>
      <c r="C122" s="507"/>
      <c r="E122" s="351" t="s">
        <v>27</v>
      </c>
      <c r="F122" s="399"/>
      <c r="G122" s="507" t="s">
        <v>28</v>
      </c>
      <c r="H122" s="507"/>
    </row>
    <row r="123" spans="1:10" ht="69.900000000000006" customHeight="1" x14ac:dyDescent="0.35">
      <c r="A123" s="400" t="s">
        <v>29</v>
      </c>
      <c r="B123" s="401"/>
      <c r="C123" s="401"/>
      <c r="E123" s="401"/>
      <c r="F123" s="238"/>
      <c r="G123" s="402"/>
      <c r="H123" s="402"/>
    </row>
    <row r="124" spans="1:10" ht="69.900000000000006" customHeight="1" x14ac:dyDescent="0.35">
      <c r="A124" s="400" t="s">
        <v>30</v>
      </c>
      <c r="B124" s="403"/>
      <c r="C124" s="403"/>
      <c r="E124" s="403"/>
      <c r="F124" s="238"/>
      <c r="G124" s="404"/>
      <c r="H124" s="404"/>
    </row>
    <row r="125" spans="1:10" ht="18" x14ac:dyDescent="0.35">
      <c r="A125" s="336"/>
      <c r="B125" s="336"/>
      <c r="C125" s="337"/>
      <c r="D125" s="337"/>
      <c r="E125" s="337"/>
      <c r="F125" s="341"/>
      <c r="G125" s="337"/>
      <c r="H125" s="337"/>
      <c r="I125" s="238"/>
    </row>
    <row r="126" spans="1:10" ht="18" x14ac:dyDescent="0.35">
      <c r="A126" s="336"/>
      <c r="B126" s="336"/>
      <c r="C126" s="337"/>
      <c r="D126" s="337"/>
      <c r="E126" s="337"/>
      <c r="F126" s="341"/>
      <c r="G126" s="337"/>
      <c r="H126" s="337"/>
      <c r="I126" s="238"/>
    </row>
    <row r="127" spans="1:10" ht="18" x14ac:dyDescent="0.35">
      <c r="A127" s="336"/>
      <c r="B127" s="336"/>
      <c r="C127" s="337"/>
      <c r="D127" s="337"/>
      <c r="E127" s="337"/>
      <c r="F127" s="341"/>
      <c r="G127" s="337"/>
      <c r="H127" s="337"/>
      <c r="I127" s="238"/>
    </row>
    <row r="128" spans="1:10" ht="18" x14ac:dyDescent="0.35">
      <c r="A128" s="336"/>
      <c r="B128" s="336"/>
      <c r="C128" s="337"/>
      <c r="D128" s="337"/>
      <c r="E128" s="337"/>
      <c r="F128" s="341"/>
      <c r="G128" s="337"/>
      <c r="H128" s="337"/>
      <c r="I128" s="238"/>
    </row>
    <row r="129" spans="1:9" ht="18" x14ac:dyDescent="0.35">
      <c r="A129" s="336"/>
      <c r="B129" s="336"/>
      <c r="C129" s="337"/>
      <c r="D129" s="337"/>
      <c r="E129" s="337"/>
      <c r="F129" s="341"/>
      <c r="G129" s="337"/>
      <c r="H129" s="337"/>
      <c r="I129" s="238"/>
    </row>
    <row r="130" spans="1:9" ht="18" x14ac:dyDescent="0.35">
      <c r="A130" s="336"/>
      <c r="B130" s="336"/>
      <c r="C130" s="337"/>
      <c r="D130" s="337"/>
      <c r="E130" s="337"/>
      <c r="F130" s="341"/>
      <c r="G130" s="337"/>
      <c r="H130" s="337"/>
      <c r="I130" s="238"/>
    </row>
    <row r="131" spans="1:9" ht="18" x14ac:dyDescent="0.35">
      <c r="A131" s="336"/>
      <c r="B131" s="336"/>
      <c r="C131" s="337"/>
      <c r="D131" s="337"/>
      <c r="E131" s="337"/>
      <c r="F131" s="341"/>
      <c r="G131" s="337"/>
      <c r="H131" s="337"/>
      <c r="I131" s="238"/>
    </row>
    <row r="132" spans="1:9" ht="18" x14ac:dyDescent="0.35">
      <c r="A132" s="336"/>
      <c r="B132" s="336"/>
      <c r="C132" s="337"/>
      <c r="D132" s="337"/>
      <c r="E132" s="337"/>
      <c r="F132" s="341"/>
      <c r="G132" s="337"/>
      <c r="H132" s="337"/>
      <c r="I132" s="238"/>
    </row>
    <row r="133" spans="1:9" ht="18" x14ac:dyDescent="0.35">
      <c r="A133" s="336"/>
      <c r="B133" s="336"/>
      <c r="C133" s="337"/>
      <c r="D133" s="337"/>
      <c r="E133" s="337"/>
      <c r="F133" s="341"/>
      <c r="G133" s="337"/>
      <c r="H133" s="337"/>
      <c r="I133" s="23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" zoomScale="60" zoomScaleNormal="60" zoomScalePageLayoutView="55" workbookViewId="0">
      <selection activeCell="E23" sqref="E2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04" t="s">
        <v>121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3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3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3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3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3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3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3">
      <c r="A8" s="505" t="s">
        <v>122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3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3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3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3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3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3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5">
      <c r="A15" s="57"/>
    </row>
    <row r="16" spans="1:9" ht="19.5" customHeight="1" x14ac:dyDescent="0.35">
      <c r="A16" s="477" t="s">
        <v>31</v>
      </c>
      <c r="B16" s="478"/>
      <c r="C16" s="478"/>
      <c r="D16" s="478"/>
      <c r="E16" s="478"/>
      <c r="F16" s="478"/>
      <c r="G16" s="478"/>
      <c r="H16" s="479"/>
    </row>
    <row r="17" spans="1:14" ht="20.25" customHeight="1" x14ac:dyDescent="0.3">
      <c r="A17" s="480" t="s">
        <v>45</v>
      </c>
      <c r="B17" s="480"/>
      <c r="C17" s="480"/>
      <c r="D17" s="480"/>
      <c r="E17" s="480"/>
      <c r="F17" s="480"/>
      <c r="G17" s="480"/>
      <c r="H17" s="480"/>
    </row>
    <row r="18" spans="1:14" ht="26.25" customHeight="1" x14ac:dyDescent="0.5">
      <c r="A18" s="59" t="s">
        <v>33</v>
      </c>
      <c r="B18" s="476" t="s">
        <v>5</v>
      </c>
      <c r="C18" s="476"/>
      <c r="D18" s="224"/>
      <c r="E18" s="60"/>
      <c r="F18" s="61"/>
      <c r="G18" s="61"/>
      <c r="H18" s="61"/>
    </row>
    <row r="19" spans="1:14" ht="26.25" customHeight="1" x14ac:dyDescent="0.5">
      <c r="A19" s="59" t="s">
        <v>34</v>
      </c>
      <c r="B19" s="62" t="s">
        <v>7</v>
      </c>
      <c r="C19" s="237">
        <v>29</v>
      </c>
      <c r="D19" s="61"/>
      <c r="E19" s="61"/>
      <c r="F19" s="61"/>
      <c r="G19" s="61"/>
      <c r="H19" s="61"/>
    </row>
    <row r="20" spans="1:14" ht="26.25" customHeight="1" x14ac:dyDescent="0.5">
      <c r="A20" s="59" t="s">
        <v>35</v>
      </c>
      <c r="B20" s="481" t="s">
        <v>9</v>
      </c>
      <c r="C20" s="481"/>
      <c r="D20" s="61"/>
      <c r="E20" s="61"/>
      <c r="F20" s="61"/>
      <c r="G20" s="61"/>
      <c r="H20" s="61"/>
    </row>
    <row r="21" spans="1:14" ht="26.25" customHeight="1" x14ac:dyDescent="0.5">
      <c r="A21" s="59" t="s">
        <v>36</v>
      </c>
      <c r="B21" s="481" t="s">
        <v>11</v>
      </c>
      <c r="C21" s="481"/>
      <c r="D21" s="481"/>
      <c r="E21" s="481"/>
      <c r="F21" s="481"/>
      <c r="G21" s="481"/>
      <c r="H21" s="481"/>
      <c r="I21" s="63"/>
    </row>
    <row r="22" spans="1:14" ht="26.25" customHeight="1" x14ac:dyDescent="0.5">
      <c r="A22" s="59" t="s">
        <v>37</v>
      </c>
      <c r="B22" s="64" t="s">
        <v>12</v>
      </c>
      <c r="C22" s="61"/>
      <c r="D22" s="61"/>
      <c r="E22" s="61"/>
      <c r="F22" s="61"/>
      <c r="G22" s="61"/>
      <c r="H22" s="61"/>
    </row>
    <row r="23" spans="1:14" ht="26.25" customHeight="1" x14ac:dyDescent="0.5">
      <c r="A23" s="59" t="s">
        <v>38</v>
      </c>
      <c r="B23" s="64"/>
      <c r="C23" s="61"/>
      <c r="D23" s="61"/>
      <c r="E23" s="61"/>
      <c r="F23" s="61"/>
      <c r="G23" s="61"/>
      <c r="H23" s="61"/>
    </row>
    <row r="24" spans="1:14" ht="18" x14ac:dyDescent="0.35">
      <c r="A24" s="59"/>
      <c r="B24" s="65"/>
    </row>
    <row r="25" spans="1:14" ht="18" x14ac:dyDescent="0.35">
      <c r="A25" s="66" t="s">
        <v>1</v>
      </c>
      <c r="B25" s="65"/>
    </row>
    <row r="26" spans="1:14" ht="26.25" customHeight="1" x14ac:dyDescent="0.45">
      <c r="A26" s="67" t="s">
        <v>4</v>
      </c>
      <c r="B26" s="476" t="s">
        <v>125</v>
      </c>
      <c r="C26" s="476"/>
    </row>
    <row r="27" spans="1:14" ht="26.25" customHeight="1" x14ac:dyDescent="0.5">
      <c r="A27" s="68" t="s">
        <v>46</v>
      </c>
      <c r="B27" s="482" t="s">
        <v>126</v>
      </c>
      <c r="C27" s="482"/>
    </row>
    <row r="28" spans="1:14" ht="27" customHeight="1" x14ac:dyDescent="0.45">
      <c r="A28" s="68" t="s">
        <v>6</v>
      </c>
      <c r="B28" s="69">
        <v>99.44</v>
      </c>
    </row>
    <row r="29" spans="1:14" s="14" customFormat="1" ht="27" customHeight="1" x14ac:dyDescent="0.5">
      <c r="A29" s="68" t="s">
        <v>47</v>
      </c>
      <c r="B29" s="70">
        <v>0</v>
      </c>
      <c r="C29" s="483" t="s">
        <v>48</v>
      </c>
      <c r="D29" s="484"/>
      <c r="E29" s="484"/>
      <c r="F29" s="484"/>
      <c r="G29" s="485"/>
      <c r="I29" s="71"/>
      <c r="J29" s="71"/>
      <c r="K29" s="71"/>
      <c r="L29" s="71"/>
    </row>
    <row r="30" spans="1:14" s="14" customFormat="1" ht="19.5" customHeight="1" x14ac:dyDescent="0.35">
      <c r="A30" s="68" t="s">
        <v>49</v>
      </c>
      <c r="B30" s="72">
        <f>B28-B29</f>
        <v>99.44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5">
      <c r="A31" s="68" t="s">
        <v>50</v>
      </c>
      <c r="B31" s="75">
        <v>1</v>
      </c>
      <c r="C31" s="486" t="s">
        <v>51</v>
      </c>
      <c r="D31" s="487"/>
      <c r="E31" s="487"/>
      <c r="F31" s="487"/>
      <c r="G31" s="487"/>
      <c r="H31" s="488"/>
      <c r="I31" s="71"/>
      <c r="J31" s="71"/>
      <c r="K31" s="71"/>
      <c r="L31" s="71"/>
    </row>
    <row r="32" spans="1:14" s="14" customFormat="1" ht="27" customHeight="1" x14ac:dyDescent="0.45">
      <c r="A32" s="68" t="s">
        <v>52</v>
      </c>
      <c r="B32" s="75">
        <v>1</v>
      </c>
      <c r="C32" s="486" t="s">
        <v>53</v>
      </c>
      <c r="D32" s="487"/>
      <c r="E32" s="487"/>
      <c r="F32" s="487"/>
      <c r="G32" s="487"/>
      <c r="H32" s="488"/>
      <c r="I32" s="71"/>
      <c r="J32" s="71"/>
      <c r="K32" s="71"/>
      <c r="L32" s="76"/>
      <c r="M32" s="76"/>
      <c r="N32" s="77"/>
    </row>
    <row r="33" spans="1:14" s="14" customFormat="1" ht="17.25" customHeight="1" x14ac:dyDescent="0.35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" x14ac:dyDescent="0.35">
      <c r="A34" s="68" t="s">
        <v>54</v>
      </c>
      <c r="B34" s="80">
        <f>B31/B32</f>
        <v>1</v>
      </c>
      <c r="C34" s="58" t="s">
        <v>55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5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5">
      <c r="A36" s="81" t="s">
        <v>56</v>
      </c>
      <c r="B36" s="82">
        <v>10</v>
      </c>
      <c r="C36" s="58"/>
      <c r="D36" s="489" t="s">
        <v>57</v>
      </c>
      <c r="E36" s="490"/>
      <c r="F36" s="489" t="s">
        <v>58</v>
      </c>
      <c r="G36" s="491"/>
      <c r="J36" s="71"/>
      <c r="K36" s="71"/>
      <c r="L36" s="76"/>
      <c r="M36" s="76"/>
      <c r="N36" s="77"/>
    </row>
    <row r="37" spans="1:14" s="14" customFormat="1" ht="27" customHeight="1" x14ac:dyDescent="0.45">
      <c r="A37" s="83" t="s">
        <v>59</v>
      </c>
      <c r="B37" s="84">
        <v>5</v>
      </c>
      <c r="C37" s="85" t="s">
        <v>60</v>
      </c>
      <c r="D37" s="86" t="s">
        <v>61</v>
      </c>
      <c r="E37" s="87" t="s">
        <v>62</v>
      </c>
      <c r="F37" s="86" t="s">
        <v>61</v>
      </c>
      <c r="G37" s="88" t="s">
        <v>62</v>
      </c>
      <c r="I37" s="89" t="s">
        <v>63</v>
      </c>
      <c r="J37" s="71"/>
      <c r="K37" s="71"/>
      <c r="L37" s="76"/>
      <c r="M37" s="76"/>
      <c r="N37" s="77"/>
    </row>
    <row r="38" spans="1:14" s="14" customFormat="1" ht="26.25" customHeight="1" x14ac:dyDescent="0.45">
      <c r="A38" s="83" t="s">
        <v>64</v>
      </c>
      <c r="B38" s="84">
        <v>50</v>
      </c>
      <c r="C38" s="90">
        <v>1</v>
      </c>
      <c r="D38" s="91">
        <v>18441718</v>
      </c>
      <c r="E38" s="92">
        <f>IF(ISBLANK(D38),"-",$D$48/$D$45*D38)</f>
        <v>14081680.493527612</v>
      </c>
      <c r="F38" s="91">
        <v>18140072</v>
      </c>
      <c r="G38" s="93">
        <f>IF(ISBLANK(F38),"-",$D$48/$F$45*F38)</f>
        <v>14363959.432665449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5">
      <c r="A39" s="83" t="s">
        <v>65</v>
      </c>
      <c r="B39" s="84">
        <v>1</v>
      </c>
      <c r="C39" s="95">
        <v>2</v>
      </c>
      <c r="D39" s="96">
        <v>18256735</v>
      </c>
      <c r="E39" s="97">
        <f>IF(ISBLANK(D39),"-",$D$48/$D$45*D39)</f>
        <v>13940431.641184559</v>
      </c>
      <c r="F39" s="96">
        <v>18079152</v>
      </c>
      <c r="G39" s="98">
        <f>IF(ISBLANK(F39),"-",$D$48/$F$45*F39)</f>
        <v>14315720.792342633</v>
      </c>
      <c r="I39" s="493">
        <f>ABS((F43/D43*D42)-F42)/D42</f>
        <v>2.1827217549183136E-2</v>
      </c>
      <c r="J39" s="71"/>
      <c r="K39" s="71"/>
      <c r="L39" s="76"/>
      <c r="M39" s="76"/>
      <c r="N39" s="77"/>
    </row>
    <row r="40" spans="1:14" ht="26.25" customHeight="1" x14ac:dyDescent="0.45">
      <c r="A40" s="83" t="s">
        <v>66</v>
      </c>
      <c r="B40" s="84">
        <v>1</v>
      </c>
      <c r="C40" s="95">
        <v>3</v>
      </c>
      <c r="D40" s="96">
        <v>18254647</v>
      </c>
      <c r="E40" s="97">
        <f>IF(ISBLANK(D40),"-",$D$48/$D$45*D40)</f>
        <v>13938837.29141354</v>
      </c>
      <c r="F40" s="96">
        <v>18076872</v>
      </c>
      <c r="G40" s="98">
        <f>IF(ISBLANK(F40),"-",$D$48/$F$45*F40)</f>
        <v>14313915.406591877</v>
      </c>
      <c r="I40" s="493"/>
      <c r="L40" s="76"/>
      <c r="M40" s="76"/>
      <c r="N40" s="99"/>
    </row>
    <row r="41" spans="1:14" ht="27" customHeight="1" x14ac:dyDescent="0.45">
      <c r="A41" s="83" t="s">
        <v>67</v>
      </c>
      <c r="B41" s="84">
        <v>1</v>
      </c>
      <c r="C41" s="100">
        <v>4</v>
      </c>
      <c r="D41" s="101">
        <v>18189226</v>
      </c>
      <c r="E41" s="102">
        <f>IF(ISBLANK(D41),"-",$D$48/$D$45*D41)</f>
        <v>13888883.289320728</v>
      </c>
      <c r="F41" s="101">
        <v>17832481</v>
      </c>
      <c r="G41" s="103">
        <f>IF(ISBLANK(F41),"-",$D$48/$F$45*F41)</f>
        <v>14120397.850007286</v>
      </c>
      <c r="I41" s="104"/>
      <c r="L41" s="76"/>
      <c r="M41" s="76"/>
      <c r="N41" s="99"/>
    </row>
    <row r="42" spans="1:14" ht="27" customHeight="1" x14ac:dyDescent="0.45">
      <c r="A42" s="83" t="s">
        <v>68</v>
      </c>
      <c r="B42" s="84">
        <v>1</v>
      </c>
      <c r="C42" s="105" t="s">
        <v>69</v>
      </c>
      <c r="D42" s="106">
        <f>AVERAGE(D38:D41)</f>
        <v>18285581.5</v>
      </c>
      <c r="E42" s="107">
        <f>AVERAGE(E38:E41)</f>
        <v>13962458.178861611</v>
      </c>
      <c r="F42" s="106">
        <f>AVERAGE(F38:F41)</f>
        <v>18032144.25</v>
      </c>
      <c r="G42" s="108">
        <f>AVERAGE(G38:G41)</f>
        <v>14278498.370401813</v>
      </c>
      <c r="H42" s="109"/>
    </row>
    <row r="43" spans="1:14" ht="26.25" customHeight="1" x14ac:dyDescent="0.45">
      <c r="A43" s="83" t="s">
        <v>70</v>
      </c>
      <c r="B43" s="84">
        <v>1</v>
      </c>
      <c r="C43" s="110" t="s">
        <v>71</v>
      </c>
      <c r="D43" s="111">
        <v>13.17</v>
      </c>
      <c r="E43" s="99"/>
      <c r="F43" s="519">
        <v>12.7</v>
      </c>
      <c r="H43" s="109"/>
    </row>
    <row r="44" spans="1:14" ht="26.25" customHeight="1" x14ac:dyDescent="0.45">
      <c r="A44" s="83" t="s">
        <v>72</v>
      </c>
      <c r="B44" s="84">
        <v>1</v>
      </c>
      <c r="C44" s="112" t="s">
        <v>73</v>
      </c>
      <c r="D44" s="113">
        <f>D43*$B$34</f>
        <v>13.17</v>
      </c>
      <c r="E44" s="114"/>
      <c r="F44" s="113">
        <f>F43*$B$34</f>
        <v>12.7</v>
      </c>
      <c r="H44" s="109"/>
    </row>
    <row r="45" spans="1:14" ht="19.5" customHeight="1" x14ac:dyDescent="0.35">
      <c r="A45" s="83" t="s">
        <v>74</v>
      </c>
      <c r="B45" s="115">
        <f>(B44/B43)*(B42/B41)*(B40/B39)*(B38/B37)*B36</f>
        <v>100</v>
      </c>
      <c r="C45" s="112" t="s">
        <v>75</v>
      </c>
      <c r="D45" s="116">
        <f>D44*$B$30/100</f>
        <v>13.096248000000001</v>
      </c>
      <c r="E45" s="117"/>
      <c r="F45" s="116">
        <f>F44*$B$30/100</f>
        <v>12.628879999999999</v>
      </c>
      <c r="H45" s="109"/>
    </row>
    <row r="46" spans="1:14" ht="19.5" customHeight="1" x14ac:dyDescent="0.35">
      <c r="A46" s="494" t="s">
        <v>76</v>
      </c>
      <c r="B46" s="495"/>
      <c r="C46" s="112" t="s">
        <v>77</v>
      </c>
      <c r="D46" s="118">
        <f>D45/$B$45</f>
        <v>0.13096248000000002</v>
      </c>
      <c r="E46" s="119"/>
      <c r="F46" s="120">
        <f>F45/$B$45</f>
        <v>0.12628879999999998</v>
      </c>
      <c r="H46" s="109"/>
    </row>
    <row r="47" spans="1:14" ht="27" customHeight="1" x14ac:dyDescent="0.45">
      <c r="A47" s="496"/>
      <c r="B47" s="497"/>
      <c r="C47" s="121" t="s">
        <v>78</v>
      </c>
      <c r="D47" s="122">
        <v>0.1</v>
      </c>
      <c r="E47" s="123"/>
      <c r="F47" s="119"/>
      <c r="H47" s="109"/>
    </row>
    <row r="48" spans="1:14" ht="18" x14ac:dyDescent="0.35">
      <c r="C48" s="124" t="s">
        <v>79</v>
      </c>
      <c r="D48" s="116">
        <f>D47*$B$45</f>
        <v>10</v>
      </c>
      <c r="F48" s="125"/>
      <c r="H48" s="109"/>
    </row>
    <row r="49" spans="1:12" ht="19.5" customHeight="1" x14ac:dyDescent="0.35">
      <c r="C49" s="126" t="s">
        <v>80</v>
      </c>
      <c r="D49" s="127">
        <f>D48/B34</f>
        <v>10</v>
      </c>
      <c r="F49" s="125"/>
      <c r="H49" s="109"/>
    </row>
    <row r="50" spans="1:12" ht="18" x14ac:dyDescent="0.35">
      <c r="C50" s="81" t="s">
        <v>81</v>
      </c>
      <c r="D50" s="128">
        <f>AVERAGE(E38:E41,G38:G41)</f>
        <v>14120478.274631711</v>
      </c>
      <c r="F50" s="129"/>
      <c r="H50" s="109"/>
    </row>
    <row r="51" spans="1:12" ht="18" x14ac:dyDescent="0.35">
      <c r="C51" s="83" t="s">
        <v>82</v>
      </c>
      <c r="D51" s="130">
        <f>STDEV(E38:E41,G38:G41)/D50</f>
        <v>1.352659669680141E-2</v>
      </c>
      <c r="F51" s="129"/>
      <c r="H51" s="109"/>
    </row>
    <row r="52" spans="1:12" ht="19.5" customHeight="1" x14ac:dyDescent="0.35">
      <c r="C52" s="131" t="s">
        <v>20</v>
      </c>
      <c r="D52" s="132">
        <f>COUNT(E38:E41,G38:G41)</f>
        <v>8</v>
      </c>
      <c r="F52" s="129"/>
    </row>
    <row r="54" spans="1:12" ht="18" x14ac:dyDescent="0.35">
      <c r="A54" s="133" t="s">
        <v>1</v>
      </c>
      <c r="B54" s="134" t="s">
        <v>83</v>
      </c>
    </row>
    <row r="55" spans="1:12" ht="18" x14ac:dyDescent="0.35">
      <c r="A55" s="58" t="s">
        <v>84</v>
      </c>
      <c r="B55" s="135" t="str">
        <f>B21</f>
        <v>Aceclofenac BP 100 mg, Paracetamol BP 500 mg</v>
      </c>
    </row>
    <row r="56" spans="1:12" ht="26.25" customHeight="1" x14ac:dyDescent="0.45">
      <c r="A56" s="136" t="s">
        <v>123</v>
      </c>
      <c r="B56" s="137">
        <v>100</v>
      </c>
      <c r="C56" s="58" t="str">
        <f>B20</f>
        <v>Aceclofenac BP, Paracetamol BP</v>
      </c>
      <c r="H56" s="138"/>
    </row>
    <row r="57" spans="1:12" ht="18" x14ac:dyDescent="0.35">
      <c r="A57" s="135" t="s">
        <v>124</v>
      </c>
      <c r="B57" s="225">
        <f>Uniformity!C46</f>
        <v>889.10149999999999</v>
      </c>
      <c r="H57" s="138"/>
    </row>
    <row r="58" spans="1:12" ht="19.5" customHeight="1" x14ac:dyDescent="0.35">
      <c r="H58" s="138"/>
    </row>
    <row r="59" spans="1:12" s="14" customFormat="1" ht="27" customHeight="1" x14ac:dyDescent="0.45">
      <c r="A59" s="81" t="s">
        <v>85</v>
      </c>
      <c r="B59" s="82">
        <v>200</v>
      </c>
      <c r="C59" s="58"/>
      <c r="D59" s="139" t="s">
        <v>86</v>
      </c>
      <c r="E59" s="140" t="s">
        <v>60</v>
      </c>
      <c r="F59" s="140" t="s">
        <v>61</v>
      </c>
      <c r="G59" s="140" t="s">
        <v>87</v>
      </c>
      <c r="H59" s="85" t="s">
        <v>88</v>
      </c>
      <c r="L59" s="71"/>
    </row>
    <row r="60" spans="1:12" s="14" customFormat="1" ht="26.25" customHeight="1" x14ac:dyDescent="0.45">
      <c r="A60" s="83" t="s">
        <v>89</v>
      </c>
      <c r="B60" s="84">
        <v>1</v>
      </c>
      <c r="C60" s="498" t="s">
        <v>90</v>
      </c>
      <c r="D60" s="501">
        <v>178.76</v>
      </c>
      <c r="E60" s="141">
        <v>1</v>
      </c>
      <c r="F60" s="142">
        <v>13552233</v>
      </c>
      <c r="G60" s="226">
        <f>IF(ISBLANK(F60),"-",(F60/$D$50*$D$47*$B$68)*($B$57/$D$60))</f>
        <v>95.471214087051976</v>
      </c>
      <c r="H60" s="143">
        <f t="shared" ref="H60:H71" si="0">IF(ISBLANK(F60),"-",G60/$B$56)</f>
        <v>0.95471214087051981</v>
      </c>
      <c r="L60" s="71"/>
    </row>
    <row r="61" spans="1:12" s="14" customFormat="1" ht="26.25" customHeight="1" x14ac:dyDescent="0.45">
      <c r="A61" s="83" t="s">
        <v>91</v>
      </c>
      <c r="B61" s="84">
        <v>1</v>
      </c>
      <c r="C61" s="499"/>
      <c r="D61" s="502"/>
      <c r="E61" s="144">
        <v>2</v>
      </c>
      <c r="F61" s="96">
        <v>13116185</v>
      </c>
      <c r="G61" s="227">
        <f>IF(ISBLANK(F61),"-",(F61/$D$50*$D$47*$B$68)*($B$57/$D$60))</f>
        <v>92.399393232124922</v>
      </c>
      <c r="H61" s="145">
        <f t="shared" si="0"/>
        <v>0.92399393232124927</v>
      </c>
      <c r="L61" s="71"/>
    </row>
    <row r="62" spans="1:12" s="14" customFormat="1" ht="26.25" customHeight="1" x14ac:dyDescent="0.45">
      <c r="A62" s="83" t="s">
        <v>92</v>
      </c>
      <c r="B62" s="84">
        <v>1</v>
      </c>
      <c r="C62" s="499"/>
      <c r="D62" s="502"/>
      <c r="E62" s="144">
        <v>3</v>
      </c>
      <c r="F62" s="146">
        <v>13281723</v>
      </c>
      <c r="G62" s="227">
        <f>IF(ISBLANK(F62),"-",(F62/$D$50*$D$47*$B$68)*($B$57/$D$60))</f>
        <v>93.565556316654423</v>
      </c>
      <c r="H62" s="145">
        <f t="shared" si="0"/>
        <v>0.93565556316654419</v>
      </c>
      <c r="L62" s="71"/>
    </row>
    <row r="63" spans="1:12" ht="27" customHeight="1" x14ac:dyDescent="0.45">
      <c r="A63" s="83" t="s">
        <v>93</v>
      </c>
      <c r="B63" s="84">
        <v>1</v>
      </c>
      <c r="C63" s="500"/>
      <c r="D63" s="503"/>
      <c r="E63" s="147">
        <v>4</v>
      </c>
      <c r="F63" s="148"/>
      <c r="G63" s="227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5">
      <c r="A64" s="83" t="s">
        <v>94</v>
      </c>
      <c r="B64" s="84">
        <v>1</v>
      </c>
      <c r="C64" s="498" t="s">
        <v>95</v>
      </c>
      <c r="D64" s="501">
        <v>174.99</v>
      </c>
      <c r="E64" s="141">
        <v>1</v>
      </c>
      <c r="F64" s="142">
        <v>12948211</v>
      </c>
      <c r="G64" s="228">
        <f>IF(ISBLANK(F64),"-",(F64/$D$50*$D$47*$B$68)*($B$57/$D$64))</f>
        <v>93.181236339863275</v>
      </c>
      <c r="H64" s="149">
        <f t="shared" si="0"/>
        <v>0.93181236339863271</v>
      </c>
    </row>
    <row r="65" spans="1:8" ht="26.25" customHeight="1" x14ac:dyDescent="0.45">
      <c r="A65" s="83" t="s">
        <v>96</v>
      </c>
      <c r="B65" s="84">
        <v>1</v>
      </c>
      <c r="C65" s="499"/>
      <c r="D65" s="502"/>
      <c r="E65" s="144">
        <v>2</v>
      </c>
      <c r="F65" s="96">
        <v>12663977</v>
      </c>
      <c r="G65" s="229">
        <f>IF(ISBLANK(F65),"-",(F65/$D$50*$D$47*$B$68)*($B$57/$D$64))</f>
        <v>91.135758742238053</v>
      </c>
      <c r="H65" s="150">
        <f t="shared" si="0"/>
        <v>0.91135758742238049</v>
      </c>
    </row>
    <row r="66" spans="1:8" ht="26.25" customHeight="1" x14ac:dyDescent="0.45">
      <c r="A66" s="83" t="s">
        <v>97</v>
      </c>
      <c r="B66" s="84">
        <v>1</v>
      </c>
      <c r="C66" s="499"/>
      <c r="D66" s="502"/>
      <c r="E66" s="144">
        <v>3</v>
      </c>
      <c r="F66" s="96">
        <v>12792460</v>
      </c>
      <c r="G66" s="229">
        <f>IF(ISBLANK(F66),"-",(F66/$D$50*$D$47*$B$68)*($B$57/$D$64))</f>
        <v>92.060381054050424</v>
      </c>
      <c r="H66" s="150">
        <f t="shared" si="0"/>
        <v>0.92060381054050422</v>
      </c>
    </row>
    <row r="67" spans="1:8" ht="27" customHeight="1" x14ac:dyDescent="0.45">
      <c r="A67" s="83" t="s">
        <v>98</v>
      </c>
      <c r="B67" s="84">
        <v>1</v>
      </c>
      <c r="C67" s="500"/>
      <c r="D67" s="503"/>
      <c r="E67" s="147">
        <v>4</v>
      </c>
      <c r="F67" s="148"/>
      <c r="G67" s="230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5">
      <c r="A68" s="83" t="s">
        <v>99</v>
      </c>
      <c r="B68" s="152">
        <f>(B67/B66)*(B65/B64)*(B63/B62)*(B61/B60)*B59</f>
        <v>200</v>
      </c>
      <c r="C68" s="498" t="s">
        <v>100</v>
      </c>
      <c r="D68" s="501">
        <v>177.17</v>
      </c>
      <c r="E68" s="141">
        <v>1</v>
      </c>
      <c r="F68" s="142">
        <v>12829217</v>
      </c>
      <c r="G68" s="228">
        <f>IF(ISBLANK(F68),"-",(F68/$D$50*$D$47*$B$68)*($B$57/$D$68))</f>
        <v>91.188883341069115</v>
      </c>
      <c r="H68" s="145">
        <f t="shared" si="0"/>
        <v>0.91188883341069116</v>
      </c>
    </row>
    <row r="69" spans="1:8" ht="27" customHeight="1" x14ac:dyDescent="0.5">
      <c r="A69" s="131" t="s">
        <v>101</v>
      </c>
      <c r="B69" s="153">
        <f>(D47*B68)/B56*B57</f>
        <v>177.8203</v>
      </c>
      <c r="C69" s="499"/>
      <c r="D69" s="502"/>
      <c r="E69" s="144">
        <v>2</v>
      </c>
      <c r="F69" s="96">
        <v>13056649</v>
      </c>
      <c r="G69" s="229">
        <f>IF(ISBLANK(F69),"-",(F69/$D$50*$D$47*$B$68)*($B$57/$D$68))</f>
        <v>92.805448881742876</v>
      </c>
      <c r="H69" s="145">
        <f t="shared" si="0"/>
        <v>0.9280544888174288</v>
      </c>
    </row>
    <row r="70" spans="1:8" ht="26.25" customHeight="1" x14ac:dyDescent="0.45">
      <c r="A70" s="511" t="s">
        <v>76</v>
      </c>
      <c r="B70" s="512"/>
      <c r="C70" s="499"/>
      <c r="D70" s="502"/>
      <c r="E70" s="144">
        <v>3</v>
      </c>
      <c r="F70" s="96">
        <v>13135503</v>
      </c>
      <c r="G70" s="229">
        <f>IF(ISBLANK(F70),"-",(F70/$D$50*$D$47*$B$68)*($B$57/$D$68))</f>
        <v>93.36593579275052</v>
      </c>
      <c r="H70" s="145">
        <f t="shared" si="0"/>
        <v>0.93365935792750521</v>
      </c>
    </row>
    <row r="71" spans="1:8" ht="27" customHeight="1" x14ac:dyDescent="0.45">
      <c r="A71" s="513"/>
      <c r="B71" s="514"/>
      <c r="C71" s="510"/>
      <c r="D71" s="503"/>
      <c r="E71" s="147">
        <v>4</v>
      </c>
      <c r="F71" s="148"/>
      <c r="G71" s="230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5">
      <c r="A72" s="155"/>
      <c r="B72" s="155"/>
      <c r="C72" s="155"/>
      <c r="D72" s="155"/>
      <c r="E72" s="155"/>
      <c r="F72" s="157" t="s">
        <v>69</v>
      </c>
      <c r="G72" s="235">
        <f>AVERAGE(G60:G71)</f>
        <v>92.797089754171736</v>
      </c>
      <c r="H72" s="158">
        <f>AVERAGE(H60:H71)</f>
        <v>0.92797089754171735</v>
      </c>
    </row>
    <row r="73" spans="1:8" ht="26.25" customHeight="1" x14ac:dyDescent="0.45">
      <c r="C73" s="155"/>
      <c r="D73" s="155"/>
      <c r="E73" s="155"/>
      <c r="F73" s="159" t="s">
        <v>82</v>
      </c>
      <c r="G73" s="231">
        <f>STDEV(G60:G71)/G72</f>
        <v>1.4387315156165486E-2</v>
      </c>
      <c r="H73" s="231">
        <f>STDEV(H60:H71)/H72</f>
        <v>1.43873151561655E-2</v>
      </c>
    </row>
    <row r="74" spans="1:8" ht="27" customHeight="1" x14ac:dyDescent="0.45">
      <c r="A74" s="155"/>
      <c r="B74" s="155"/>
      <c r="C74" s="156"/>
      <c r="D74" s="156"/>
      <c r="E74" s="160"/>
      <c r="F74" s="161" t="s">
        <v>20</v>
      </c>
      <c r="G74" s="162">
        <f>COUNT(G60:G71)</f>
        <v>9</v>
      </c>
      <c r="H74" s="162">
        <f>COUNT(H60:H71)</f>
        <v>9</v>
      </c>
    </row>
    <row r="76" spans="1:8" ht="26.25" customHeight="1" x14ac:dyDescent="0.45">
      <c r="A76" s="67" t="s">
        <v>102</v>
      </c>
      <c r="B76" s="163" t="s">
        <v>103</v>
      </c>
      <c r="C76" s="506" t="str">
        <f>B20</f>
        <v>Aceclofenac BP, Paracetamol BP</v>
      </c>
      <c r="D76" s="506"/>
      <c r="E76" s="164" t="s">
        <v>104</v>
      </c>
      <c r="F76" s="164"/>
      <c r="G76" s="165">
        <f>H72</f>
        <v>0.92797089754171735</v>
      </c>
      <c r="H76" s="166"/>
    </row>
    <row r="77" spans="1:8" ht="18" x14ac:dyDescent="0.35">
      <c r="A77" s="66" t="s">
        <v>105</v>
      </c>
      <c r="B77" s="66" t="s">
        <v>106</v>
      </c>
    </row>
    <row r="78" spans="1:8" ht="18" x14ac:dyDescent="0.35">
      <c r="A78" s="66"/>
      <c r="B78" s="66"/>
    </row>
    <row r="79" spans="1:8" ht="26.25" customHeight="1" x14ac:dyDescent="0.45">
      <c r="A79" s="67" t="s">
        <v>4</v>
      </c>
      <c r="B79" s="492" t="str">
        <f>B26</f>
        <v>ACECLOFENAC</v>
      </c>
      <c r="C79" s="492"/>
    </row>
    <row r="80" spans="1:8" ht="26.25" customHeight="1" x14ac:dyDescent="0.45">
      <c r="A80" s="68" t="s">
        <v>46</v>
      </c>
      <c r="B80" s="492" t="str">
        <f>B27</f>
        <v>WRS/A52-7</v>
      </c>
      <c r="C80" s="492"/>
    </row>
    <row r="81" spans="1:12" ht="27" customHeight="1" x14ac:dyDescent="0.45">
      <c r="A81" s="68" t="s">
        <v>6</v>
      </c>
      <c r="B81" s="167">
        <f>B28</f>
        <v>99.44</v>
      </c>
    </row>
    <row r="82" spans="1:12" s="14" customFormat="1" ht="27" customHeight="1" x14ac:dyDescent="0.5">
      <c r="A82" s="68" t="s">
        <v>47</v>
      </c>
      <c r="B82" s="70">
        <v>0</v>
      </c>
      <c r="C82" s="483" t="s">
        <v>48</v>
      </c>
      <c r="D82" s="484"/>
      <c r="E82" s="484"/>
      <c r="F82" s="484"/>
      <c r="G82" s="485"/>
      <c r="I82" s="71"/>
      <c r="J82" s="71"/>
      <c r="K82" s="71"/>
      <c r="L82" s="71"/>
    </row>
    <row r="83" spans="1:12" s="14" customFormat="1" ht="19.5" customHeight="1" x14ac:dyDescent="0.35">
      <c r="A83" s="68" t="s">
        <v>49</v>
      </c>
      <c r="B83" s="72">
        <f>B81-B82</f>
        <v>99.44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5">
      <c r="A84" s="68" t="s">
        <v>50</v>
      </c>
      <c r="B84" s="75">
        <v>1</v>
      </c>
      <c r="C84" s="486" t="s">
        <v>107</v>
      </c>
      <c r="D84" s="487"/>
      <c r="E84" s="487"/>
      <c r="F84" s="487"/>
      <c r="G84" s="487"/>
      <c r="H84" s="488"/>
      <c r="I84" s="71"/>
      <c r="J84" s="71"/>
      <c r="K84" s="71"/>
      <c r="L84" s="71"/>
    </row>
    <row r="85" spans="1:12" s="14" customFormat="1" ht="27" customHeight="1" x14ac:dyDescent="0.45">
      <c r="A85" s="68" t="s">
        <v>52</v>
      </c>
      <c r="B85" s="75">
        <v>1</v>
      </c>
      <c r="C85" s="486" t="s">
        <v>108</v>
      </c>
      <c r="D85" s="487"/>
      <c r="E85" s="487"/>
      <c r="F85" s="487"/>
      <c r="G85" s="487"/>
      <c r="H85" s="488"/>
      <c r="I85" s="71"/>
      <c r="J85" s="71"/>
      <c r="K85" s="71"/>
      <c r="L85" s="71"/>
    </row>
    <row r="86" spans="1:12" s="14" customFormat="1" ht="18" x14ac:dyDescent="0.35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" x14ac:dyDescent="0.35">
      <c r="A87" s="68" t="s">
        <v>54</v>
      </c>
      <c r="B87" s="80">
        <f>B84/B85</f>
        <v>1</v>
      </c>
      <c r="C87" s="58" t="s">
        <v>55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5">
      <c r="A88" s="66"/>
      <c r="B88" s="66"/>
    </row>
    <row r="89" spans="1:12" ht="27" customHeight="1" x14ac:dyDescent="0.45">
      <c r="A89" s="81" t="s">
        <v>56</v>
      </c>
      <c r="B89" s="82">
        <v>100</v>
      </c>
      <c r="D89" s="168" t="s">
        <v>57</v>
      </c>
      <c r="E89" s="169"/>
      <c r="F89" s="489" t="s">
        <v>58</v>
      </c>
      <c r="G89" s="491"/>
    </row>
    <row r="90" spans="1:12" ht="27" customHeight="1" x14ac:dyDescent="0.45">
      <c r="A90" s="83" t="s">
        <v>59</v>
      </c>
      <c r="B90" s="84">
        <v>4</v>
      </c>
      <c r="C90" s="170" t="s">
        <v>60</v>
      </c>
      <c r="D90" s="86" t="s">
        <v>61</v>
      </c>
      <c r="E90" s="87" t="s">
        <v>62</v>
      </c>
      <c r="F90" s="86" t="s">
        <v>61</v>
      </c>
      <c r="G90" s="171" t="s">
        <v>62</v>
      </c>
      <c r="I90" s="89" t="s">
        <v>63</v>
      </c>
    </row>
    <row r="91" spans="1:12" ht="26.25" customHeight="1" x14ac:dyDescent="0.45">
      <c r="A91" s="83" t="s">
        <v>64</v>
      </c>
      <c r="B91" s="84">
        <v>50</v>
      </c>
      <c r="C91" s="172">
        <v>1</v>
      </c>
      <c r="D91" s="91">
        <v>12087864</v>
      </c>
      <c r="E91" s="92">
        <f>IF(ISBLANK(D91),"-",$D$101/$D$98*D91)</f>
        <v>12742072.587622765</v>
      </c>
      <c r="F91" s="91">
        <v>12608342</v>
      </c>
      <c r="G91" s="93">
        <f>IF(ISBLANK(F91),"-",$D$101/$F$98*F91)</f>
        <v>12967749.07901858</v>
      </c>
      <c r="I91" s="94"/>
    </row>
    <row r="92" spans="1:12" ht="26.25" customHeight="1" x14ac:dyDescent="0.45">
      <c r="A92" s="83" t="s">
        <v>65</v>
      </c>
      <c r="B92" s="84">
        <v>1</v>
      </c>
      <c r="C92" s="156">
        <v>2</v>
      </c>
      <c r="D92" s="96">
        <v>12106640</v>
      </c>
      <c r="E92" s="97">
        <f>IF(ISBLANK(D92),"-",$D$101/$D$98*D92)</f>
        <v>12761864.765538169</v>
      </c>
      <c r="F92" s="96">
        <v>12598974</v>
      </c>
      <c r="G92" s="98">
        <f>IF(ISBLANK(F92),"-",$D$101/$F$98*F92)</f>
        <v>12958114.039504878</v>
      </c>
      <c r="I92" s="493">
        <f>ABS((F96/D96*D95)-F95)/D95</f>
        <v>1.6247058270402931E-2</v>
      </c>
    </row>
    <row r="93" spans="1:12" ht="26.25" customHeight="1" x14ac:dyDescent="0.45">
      <c r="A93" s="83" t="s">
        <v>66</v>
      </c>
      <c r="B93" s="84">
        <v>1</v>
      </c>
      <c r="C93" s="156">
        <v>3</v>
      </c>
      <c r="D93" s="96">
        <v>12171134</v>
      </c>
      <c r="E93" s="97">
        <f>IF(ISBLANK(D93),"-",$D$101/$D$98*D93)</f>
        <v>12829849.252248652</v>
      </c>
      <c r="F93" s="96">
        <v>12663616</v>
      </c>
      <c r="G93" s="98">
        <f>IF(ISBLANK(F93),"-",$D$101/$F$98*F93)</f>
        <v>13024598.691964807</v>
      </c>
      <c r="I93" s="493"/>
    </row>
    <row r="94" spans="1:12" ht="27" customHeight="1" x14ac:dyDescent="0.45">
      <c r="A94" s="83" t="s">
        <v>67</v>
      </c>
      <c r="B94" s="84">
        <v>1</v>
      </c>
      <c r="C94" s="173">
        <v>4</v>
      </c>
      <c r="D94" s="101">
        <v>12146807</v>
      </c>
      <c r="E94" s="102">
        <f>IF(ISBLANK(D94),"-",$D$101/$D$98*D94)</f>
        <v>12804205.648065226</v>
      </c>
      <c r="F94" s="528">
        <v>12637932</v>
      </c>
      <c r="G94" s="103">
        <f>IF(ISBLANK(F94),"-",$D$101/$F$98*F94)</f>
        <v>12998182.556731045</v>
      </c>
      <c r="I94" s="104"/>
    </row>
    <row r="95" spans="1:12" ht="27" customHeight="1" x14ac:dyDescent="0.45">
      <c r="A95" s="83" t="s">
        <v>68</v>
      </c>
      <c r="B95" s="84">
        <v>1</v>
      </c>
      <c r="C95" s="174" t="s">
        <v>69</v>
      </c>
      <c r="D95" s="175">
        <f>AVERAGE(D91:D94)</f>
        <v>12128111.25</v>
      </c>
      <c r="E95" s="107">
        <f>AVERAGE(E91:E94)</f>
        <v>12784498.063368702</v>
      </c>
      <c r="F95" s="176">
        <f>AVERAGE(F91:F94)</f>
        <v>12627216</v>
      </c>
      <c r="G95" s="177">
        <f>AVERAGE(G91:G94)</f>
        <v>12987161.091804827</v>
      </c>
    </row>
    <row r="96" spans="1:12" ht="26.25" customHeight="1" x14ac:dyDescent="0.45">
      <c r="A96" s="83" t="s">
        <v>70</v>
      </c>
      <c r="B96" s="69">
        <v>1</v>
      </c>
      <c r="C96" s="178" t="s">
        <v>109</v>
      </c>
      <c r="D96" s="530">
        <v>26.5</v>
      </c>
      <c r="E96" s="99"/>
      <c r="F96" s="111">
        <v>27.16</v>
      </c>
    </row>
    <row r="97" spans="1:10" ht="26.25" customHeight="1" x14ac:dyDescent="0.45">
      <c r="A97" s="83" t="s">
        <v>72</v>
      </c>
      <c r="B97" s="69">
        <v>1</v>
      </c>
      <c r="C97" s="179" t="s">
        <v>110</v>
      </c>
      <c r="D97" s="180">
        <f>D96*$B$87</f>
        <v>26.5</v>
      </c>
      <c r="E97" s="114"/>
      <c r="F97" s="113">
        <f>F96*$B$87</f>
        <v>27.16</v>
      </c>
    </row>
    <row r="98" spans="1:10" ht="19.5" customHeight="1" x14ac:dyDescent="0.35">
      <c r="A98" s="83" t="s">
        <v>74</v>
      </c>
      <c r="B98" s="181">
        <f>(B97/B96)*(B95/B94)*(B93/B92)*(B91/B90)*B89</f>
        <v>1250</v>
      </c>
      <c r="C98" s="179" t="s">
        <v>111</v>
      </c>
      <c r="D98" s="182">
        <f>D97*$B$83/100</f>
        <v>26.351599999999998</v>
      </c>
      <c r="E98" s="117"/>
      <c r="F98" s="116">
        <f>F97*$B$83/100</f>
        <v>27.007904</v>
      </c>
    </row>
    <row r="99" spans="1:10" ht="19.5" customHeight="1" x14ac:dyDescent="0.35">
      <c r="A99" s="494" t="s">
        <v>76</v>
      </c>
      <c r="B99" s="508"/>
      <c r="C99" s="179" t="s">
        <v>112</v>
      </c>
      <c r="D99" s="183">
        <f>D98/$B$98</f>
        <v>2.1081279999999997E-2</v>
      </c>
      <c r="E99" s="117"/>
      <c r="F99" s="120">
        <f>F98/$B$98</f>
        <v>2.1606323199999999E-2</v>
      </c>
      <c r="G99" s="184"/>
      <c r="H99" s="109"/>
    </row>
    <row r="100" spans="1:10" ht="19.5" customHeight="1" x14ac:dyDescent="0.35">
      <c r="A100" s="496"/>
      <c r="B100" s="509"/>
      <c r="C100" s="179" t="s">
        <v>78</v>
      </c>
      <c r="D100" s="185">
        <f>$B$56/$B$116</f>
        <v>2.2222222222222223E-2</v>
      </c>
      <c r="F100" s="125"/>
      <c r="G100" s="186"/>
      <c r="H100" s="109"/>
    </row>
    <row r="101" spans="1:10" ht="18" x14ac:dyDescent="0.35">
      <c r="C101" s="179" t="s">
        <v>79</v>
      </c>
      <c r="D101" s="180">
        <f>D100*$B$98</f>
        <v>27.777777777777779</v>
      </c>
      <c r="F101" s="125"/>
      <c r="G101" s="184"/>
      <c r="H101" s="109"/>
    </row>
    <row r="102" spans="1:10" ht="19.5" customHeight="1" x14ac:dyDescent="0.35">
      <c r="C102" s="187" t="s">
        <v>80</v>
      </c>
      <c r="D102" s="188">
        <f>D101/B34</f>
        <v>27.777777777777779</v>
      </c>
      <c r="F102" s="129"/>
      <c r="G102" s="184"/>
      <c r="H102" s="109"/>
      <c r="J102" s="189"/>
    </row>
    <row r="103" spans="1:10" ht="18" x14ac:dyDescent="0.35">
      <c r="C103" s="190" t="s">
        <v>113</v>
      </c>
      <c r="D103" s="191">
        <f>AVERAGE(E91:E94,G91:G94)</f>
        <v>12885829.577586764</v>
      </c>
      <c r="F103" s="129"/>
      <c r="G103" s="192"/>
      <c r="H103" s="109"/>
      <c r="J103" s="193"/>
    </row>
    <row r="104" spans="1:10" ht="18" x14ac:dyDescent="0.35">
      <c r="C104" s="159" t="s">
        <v>82</v>
      </c>
      <c r="D104" s="194">
        <f>STDEV(E91:E94,G91:G94)/D103</f>
        <v>8.7821911187609489E-3</v>
      </c>
      <c r="F104" s="129"/>
      <c r="G104" s="184"/>
      <c r="H104" s="109"/>
      <c r="J104" s="193"/>
    </row>
    <row r="105" spans="1:10" ht="19.5" customHeight="1" x14ac:dyDescent="0.35">
      <c r="C105" s="161" t="s">
        <v>20</v>
      </c>
      <c r="D105" s="195">
        <f>COUNT(E91:E94,G91:G94)</f>
        <v>8</v>
      </c>
      <c r="F105" s="129"/>
      <c r="G105" s="184"/>
      <c r="H105" s="109"/>
      <c r="J105" s="193"/>
    </row>
    <row r="106" spans="1:10" ht="19.5" customHeight="1" x14ac:dyDescent="0.35">
      <c r="A106" s="133"/>
      <c r="B106" s="133"/>
      <c r="C106" s="133"/>
      <c r="D106" s="133"/>
      <c r="E106" s="133"/>
    </row>
    <row r="107" spans="1:10" ht="26.25" customHeight="1" x14ac:dyDescent="0.45">
      <c r="A107" s="81" t="s">
        <v>114</v>
      </c>
      <c r="B107" s="82">
        <v>900</v>
      </c>
      <c r="C107" s="196" t="s">
        <v>115</v>
      </c>
      <c r="D107" s="197" t="s">
        <v>61</v>
      </c>
      <c r="E107" s="198" t="s">
        <v>116</v>
      </c>
      <c r="F107" s="199" t="s">
        <v>117</v>
      </c>
    </row>
    <row r="108" spans="1:10" ht="26.25" customHeight="1" x14ac:dyDescent="0.45">
      <c r="A108" s="83" t="s">
        <v>118</v>
      </c>
      <c r="B108" s="84">
        <v>5</v>
      </c>
      <c r="C108" s="200">
        <v>1</v>
      </c>
      <c r="D108" s="201">
        <v>12381187</v>
      </c>
      <c r="E108" s="232">
        <f t="shared" ref="E108:E113" si="1">IF(ISBLANK(D108),"-",D108/$D$103*$D$100*$B$116)</f>
        <v>96.083740091794141</v>
      </c>
      <c r="F108" s="202">
        <f t="shared" ref="F108:F113" si="2">IF(ISBLANK(D108), "-", E108/$B$56)</f>
        <v>0.96083740091794145</v>
      </c>
    </row>
    <row r="109" spans="1:10" ht="26.25" customHeight="1" x14ac:dyDescent="0.45">
      <c r="A109" s="83" t="s">
        <v>91</v>
      </c>
      <c r="B109" s="84">
        <v>25</v>
      </c>
      <c r="C109" s="200">
        <v>2</v>
      </c>
      <c r="D109" s="201">
        <v>11911202</v>
      </c>
      <c r="E109" s="233">
        <f t="shared" si="1"/>
        <v>92.43643902227295</v>
      </c>
      <c r="F109" s="203">
        <f t="shared" si="2"/>
        <v>0.92436439022272954</v>
      </c>
    </row>
    <row r="110" spans="1:10" ht="26.25" customHeight="1" x14ac:dyDescent="0.45">
      <c r="A110" s="83" t="s">
        <v>92</v>
      </c>
      <c r="B110" s="84">
        <v>1</v>
      </c>
      <c r="C110" s="200">
        <v>3</v>
      </c>
      <c r="D110" s="201">
        <v>12269824</v>
      </c>
      <c r="E110" s="233">
        <f t="shared" si="1"/>
        <v>95.219511682365976</v>
      </c>
      <c r="F110" s="203">
        <f t="shared" si="2"/>
        <v>0.95219511682365976</v>
      </c>
    </row>
    <row r="111" spans="1:10" ht="26.25" customHeight="1" x14ac:dyDescent="0.45">
      <c r="A111" s="83" t="s">
        <v>93</v>
      </c>
      <c r="B111" s="84">
        <v>1</v>
      </c>
      <c r="C111" s="200">
        <v>4</v>
      </c>
      <c r="D111" s="201">
        <v>11795571</v>
      </c>
      <c r="E111" s="233">
        <f t="shared" si="1"/>
        <v>91.539088957973419</v>
      </c>
      <c r="F111" s="203">
        <f t="shared" si="2"/>
        <v>0.91539088957973425</v>
      </c>
    </row>
    <row r="112" spans="1:10" ht="26.25" customHeight="1" x14ac:dyDescent="0.45">
      <c r="A112" s="83" t="s">
        <v>94</v>
      </c>
      <c r="B112" s="84">
        <v>1</v>
      </c>
      <c r="C112" s="200">
        <v>5</v>
      </c>
      <c r="D112" s="201">
        <v>12018578</v>
      </c>
      <c r="E112" s="233">
        <f t="shared" si="1"/>
        <v>93.269726466852887</v>
      </c>
      <c r="F112" s="203">
        <f t="shared" si="2"/>
        <v>0.93269726466852887</v>
      </c>
    </row>
    <row r="113" spans="1:10" ht="26.25" customHeight="1" x14ac:dyDescent="0.45">
      <c r="A113" s="83" t="s">
        <v>96</v>
      </c>
      <c r="B113" s="84">
        <v>1</v>
      </c>
      <c r="C113" s="204">
        <v>6</v>
      </c>
      <c r="D113" s="205">
        <v>11699215</v>
      </c>
      <c r="E113" s="234">
        <f t="shared" si="1"/>
        <v>90.79132181252244</v>
      </c>
      <c r="F113" s="206">
        <f t="shared" si="2"/>
        <v>0.90791321812522441</v>
      </c>
    </row>
    <row r="114" spans="1:10" ht="26.25" customHeight="1" x14ac:dyDescent="0.45">
      <c r="A114" s="83" t="s">
        <v>97</v>
      </c>
      <c r="B114" s="84">
        <v>1</v>
      </c>
      <c r="C114" s="200"/>
      <c r="D114" s="156"/>
      <c r="E114" s="57"/>
      <c r="F114" s="207"/>
    </row>
    <row r="115" spans="1:10" ht="26.25" customHeight="1" x14ac:dyDescent="0.45">
      <c r="A115" s="83" t="s">
        <v>98</v>
      </c>
      <c r="B115" s="84">
        <v>1</v>
      </c>
      <c r="C115" s="200"/>
      <c r="D115" s="208" t="s">
        <v>69</v>
      </c>
      <c r="E115" s="236">
        <f>AVERAGE(E108:E113)</f>
        <v>93.223304672296976</v>
      </c>
      <c r="F115" s="209">
        <f>AVERAGE(F108:F113)</f>
        <v>0.93223304672296969</v>
      </c>
    </row>
    <row r="116" spans="1:10" ht="27" customHeight="1" x14ac:dyDescent="0.45">
      <c r="A116" s="83" t="s">
        <v>99</v>
      </c>
      <c r="B116" s="115">
        <f>(B115/B114)*(B113/B112)*(B111/B110)*(B109/B108)*B107</f>
        <v>4500</v>
      </c>
      <c r="C116" s="210"/>
      <c r="D116" s="174" t="s">
        <v>82</v>
      </c>
      <c r="E116" s="211">
        <f>STDEV(E108:E113)/E115</f>
        <v>2.2264194707661472E-2</v>
      </c>
      <c r="F116" s="211">
        <f>STDEV(F108:F113)/F115</f>
        <v>2.2264194707661472E-2</v>
      </c>
      <c r="I116" s="57"/>
    </row>
    <row r="117" spans="1:10" ht="27" customHeight="1" x14ac:dyDescent="0.45">
      <c r="A117" s="494" t="s">
        <v>76</v>
      </c>
      <c r="B117" s="495"/>
      <c r="C117" s="212"/>
      <c r="D117" s="213" t="s">
        <v>20</v>
      </c>
      <c r="E117" s="214">
        <f>COUNT(E108:E113)</f>
        <v>6</v>
      </c>
      <c r="F117" s="214">
        <f>COUNT(F108:F113)</f>
        <v>6</v>
      </c>
      <c r="I117" s="57"/>
      <c r="J117" s="193"/>
    </row>
    <row r="118" spans="1:10" ht="19.5" customHeight="1" x14ac:dyDescent="0.35">
      <c r="A118" s="496"/>
      <c r="B118" s="497"/>
      <c r="C118" s="57"/>
      <c r="D118" s="57"/>
      <c r="E118" s="57"/>
      <c r="F118" s="156"/>
      <c r="G118" s="57"/>
      <c r="H118" s="57"/>
      <c r="I118" s="57"/>
    </row>
    <row r="119" spans="1:10" ht="18" x14ac:dyDescent="0.35">
      <c r="A119" s="223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5">
      <c r="A120" s="67" t="s">
        <v>102</v>
      </c>
      <c r="B120" s="163" t="s">
        <v>119</v>
      </c>
      <c r="C120" s="506" t="str">
        <f>B20</f>
        <v>Aceclofenac BP, Paracetamol BP</v>
      </c>
      <c r="D120" s="506"/>
      <c r="E120" s="164" t="s">
        <v>120</v>
      </c>
      <c r="F120" s="164"/>
      <c r="G120" s="165">
        <f>F115</f>
        <v>0.93223304672296969</v>
      </c>
      <c r="H120" s="57"/>
      <c r="I120" s="57"/>
    </row>
    <row r="121" spans="1:10" ht="19.5" customHeight="1" x14ac:dyDescent="0.35">
      <c r="A121" s="215"/>
      <c r="B121" s="215"/>
      <c r="C121" s="216"/>
      <c r="D121" s="216"/>
      <c r="E121" s="216"/>
      <c r="F121" s="216"/>
      <c r="G121" s="216"/>
      <c r="H121" s="216"/>
    </row>
    <row r="122" spans="1:10" ht="18" x14ac:dyDescent="0.35">
      <c r="B122" s="507" t="s">
        <v>26</v>
      </c>
      <c r="C122" s="507"/>
      <c r="E122" s="170" t="s">
        <v>27</v>
      </c>
      <c r="F122" s="217"/>
      <c r="G122" s="507" t="s">
        <v>28</v>
      </c>
      <c r="H122" s="507"/>
    </row>
    <row r="123" spans="1:10" ht="69.900000000000006" customHeight="1" x14ac:dyDescent="0.35">
      <c r="A123" s="218" t="s">
        <v>29</v>
      </c>
      <c r="B123" s="219"/>
      <c r="C123" s="219"/>
      <c r="E123" s="219"/>
      <c r="F123" s="57"/>
      <c r="G123" s="220"/>
      <c r="H123" s="220"/>
    </row>
    <row r="124" spans="1:10" ht="69.900000000000006" customHeight="1" x14ac:dyDescent="0.35">
      <c r="A124" s="218" t="s">
        <v>30</v>
      </c>
      <c r="B124" s="221"/>
      <c r="C124" s="221"/>
      <c r="E124" s="221"/>
      <c r="F124" s="57"/>
      <c r="G124" s="222"/>
      <c r="H124" s="222"/>
    </row>
    <row r="125" spans="1:10" ht="18" x14ac:dyDescent="0.35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" x14ac:dyDescent="0.35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" x14ac:dyDescent="0.35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" x14ac:dyDescent="0.35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" x14ac:dyDescent="0.35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" x14ac:dyDescent="0.35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" x14ac:dyDescent="0.35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" x14ac:dyDescent="0.35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" x14ac:dyDescent="0.35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SST (2)</vt:lpstr>
      <vt:lpstr>Uniformity</vt:lpstr>
      <vt:lpstr>PARACETAMOL</vt:lpstr>
      <vt:lpstr>ACECLOFENAC</vt:lpstr>
      <vt:lpstr>ACECLOFENAC!Print_Area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2016-06-13T08:56:51Z</cp:lastPrinted>
  <dcterms:created xsi:type="dcterms:W3CDTF">2005-07-05T10:19:27Z</dcterms:created>
  <dcterms:modified xsi:type="dcterms:W3CDTF">2016-06-13T08:59:03Z</dcterms:modified>
</cp:coreProperties>
</file>