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6" yWindow="552" windowWidth="15012" windowHeight="7620" activeTab="4"/>
  </bookViews>
  <sheets>
    <sheet name="SST pcm" sheetId="1" r:id="rId1"/>
    <sheet name="SST ibuprofen " sheetId="8" r:id="rId2"/>
    <sheet name="Uniformity" sheetId="2" r:id="rId3"/>
    <sheet name="Paracetamol" sheetId="3" r:id="rId4"/>
    <sheet name="Ibuprofen" sheetId="4" r:id="rId5"/>
  </sheets>
  <definedNames>
    <definedName name="_xlnm.Print_Area" localSheetId="2">Uniformity!$A$1:$G$58</definedName>
  </definedNames>
  <calcPr calcId="145621"/>
</workbook>
</file>

<file path=xl/calcChain.xml><?xml version="1.0" encoding="utf-8"?>
<calcChain xmlns="http://schemas.openxmlformats.org/spreadsheetml/2006/main">
  <c r="B21" i="8" l="1"/>
  <c r="B30" i="8"/>
  <c r="B21" i="1"/>
  <c r="G38" i="3"/>
  <c r="G42" i="3"/>
  <c r="E42" i="3"/>
  <c r="B20" i="1" l="1"/>
  <c r="D68" i="4" l="1"/>
  <c r="D64" i="4"/>
  <c r="D60" i="4"/>
  <c r="B41" i="8" l="1"/>
  <c r="B39" i="8"/>
  <c r="B19" i="8" l="1"/>
  <c r="B18" i="8"/>
  <c r="B53" i="8"/>
  <c r="E51" i="8"/>
  <c r="D51" i="8"/>
  <c r="C51" i="8"/>
  <c r="B51" i="8"/>
  <c r="B52" i="8" s="1"/>
  <c r="B32" i="8"/>
  <c r="E30" i="8"/>
  <c r="D30" i="8"/>
  <c r="C30" i="8"/>
  <c r="B31" i="8"/>
  <c r="B19" i="1"/>
  <c r="B18" i="1"/>
  <c r="B57" i="4"/>
  <c r="B57" i="3"/>
  <c r="C120" i="4"/>
  <c r="B116" i="4"/>
  <c r="D100" i="4"/>
  <c r="B98" i="4"/>
  <c r="F95" i="4"/>
  <c r="D95" i="4"/>
  <c r="G94" i="4"/>
  <c r="E94" i="4"/>
  <c r="B87" i="4"/>
  <c r="F97" i="4" s="1"/>
  <c r="B81" i="4"/>
  <c r="B80" i="4"/>
  <c r="B79" i="4"/>
  <c r="C76" i="4"/>
  <c r="H71" i="4"/>
  <c r="G71" i="4"/>
  <c r="B68" i="4"/>
  <c r="H67" i="4"/>
  <c r="G67" i="4"/>
  <c r="H63" i="4"/>
  <c r="G63" i="4"/>
  <c r="C56" i="4"/>
  <c r="B55" i="4"/>
  <c r="B45" i="4"/>
  <c r="D48" i="4" s="1"/>
  <c r="D49" i="4" s="1"/>
  <c r="F42" i="4"/>
  <c r="D42" i="4"/>
  <c r="B34" i="4"/>
  <c r="F44" i="4" s="1"/>
  <c r="B30" i="4"/>
  <c r="C120" i="3"/>
  <c r="B116" i="3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D100" i="3"/>
  <c r="B98" i="3"/>
  <c r="F97" i="3"/>
  <c r="D97" i="3"/>
  <c r="F95" i="3"/>
  <c r="D95" i="3"/>
  <c r="G94" i="3"/>
  <c r="E94" i="3"/>
  <c r="G93" i="3"/>
  <c r="E93" i="3"/>
  <c r="G92" i="3"/>
  <c r="E92" i="3"/>
  <c r="G91" i="3"/>
  <c r="E91" i="3"/>
  <c r="B87" i="3"/>
  <c r="B81" i="3"/>
  <c r="B83" i="3" s="1"/>
  <c r="F98" i="3" s="1"/>
  <c r="B80" i="3"/>
  <c r="B79" i="3"/>
  <c r="C76" i="3"/>
  <c r="H71" i="3"/>
  <c r="G71" i="3"/>
  <c r="B68" i="3"/>
  <c r="B69" i="3" s="1"/>
  <c r="H67" i="3"/>
  <c r="G67" i="3"/>
  <c r="H63" i="3"/>
  <c r="G63" i="3"/>
  <c r="C56" i="3"/>
  <c r="B55" i="3"/>
  <c r="B45" i="3"/>
  <c r="D48" i="3" s="1"/>
  <c r="D49" i="3" s="1"/>
  <c r="F42" i="3"/>
  <c r="D42" i="3"/>
  <c r="B34" i="3"/>
  <c r="F44" i="3" s="1"/>
  <c r="F45" i="3" s="1"/>
  <c r="B30" i="3"/>
  <c r="C46" i="2"/>
  <c r="D49" i="2" s="1"/>
  <c r="C45" i="2"/>
  <c r="C19" i="2"/>
  <c r="B53" i="1"/>
  <c r="E51" i="1"/>
  <c r="D51" i="1"/>
  <c r="C51" i="1"/>
  <c r="B51" i="1"/>
  <c r="B52" i="1" s="1"/>
  <c r="B32" i="1"/>
  <c r="E30" i="1"/>
  <c r="C30" i="1"/>
  <c r="B30" i="1"/>
  <c r="B31" i="1" s="1"/>
  <c r="B83" i="4" l="1"/>
  <c r="B40" i="8"/>
  <c r="I92" i="3"/>
  <c r="I92" i="4"/>
  <c r="G39" i="3"/>
  <c r="G40" i="3"/>
  <c r="G41" i="3"/>
  <c r="I39" i="4"/>
  <c r="I39" i="3"/>
  <c r="D101" i="4"/>
  <c r="D102" i="4" s="1"/>
  <c r="D101" i="3"/>
  <c r="D102" i="3" s="1"/>
  <c r="F99" i="3"/>
  <c r="E95" i="3"/>
  <c r="F46" i="3"/>
  <c r="F98" i="4"/>
  <c r="F45" i="4"/>
  <c r="F46" i="4" s="1"/>
  <c r="B69" i="4"/>
  <c r="D25" i="2"/>
  <c r="F115" i="3"/>
  <c r="G120" i="3" s="1"/>
  <c r="D103" i="3"/>
  <c r="D104" i="3" s="1"/>
  <c r="D105" i="3"/>
  <c r="G95" i="3"/>
  <c r="D98" i="3"/>
  <c r="D99" i="3" s="1"/>
  <c r="D29" i="2"/>
  <c r="D33" i="2"/>
  <c r="D37" i="2"/>
  <c r="D41" i="2"/>
  <c r="F117" i="3"/>
  <c r="D30" i="2"/>
  <c r="D42" i="2"/>
  <c r="D97" i="4"/>
  <c r="C50" i="2"/>
  <c r="D26" i="2"/>
  <c r="D34" i="2"/>
  <c r="D38" i="2"/>
  <c r="B49" i="2"/>
  <c r="D50" i="2"/>
  <c r="D44" i="3"/>
  <c r="D45" i="3" s="1"/>
  <c r="D46" i="3" s="1"/>
  <c r="D27" i="2"/>
  <c r="D31" i="2"/>
  <c r="D35" i="2"/>
  <c r="D39" i="2"/>
  <c r="D43" i="2"/>
  <c r="C49" i="2"/>
  <c r="D44" i="4"/>
  <c r="D45" i="4" s="1"/>
  <c r="D46" i="4" s="1"/>
  <c r="D24" i="2"/>
  <c r="D28" i="2"/>
  <c r="D32" i="2"/>
  <c r="D36" i="2"/>
  <c r="D40" i="2"/>
  <c r="D98" i="4" l="1"/>
  <c r="F99" i="4"/>
  <c r="G92" i="4"/>
  <c r="G93" i="4"/>
  <c r="G91" i="4"/>
  <c r="G95" i="4" s="1"/>
  <c r="G40" i="4"/>
  <c r="G38" i="4"/>
  <c r="G41" i="4"/>
  <c r="G39" i="4"/>
  <c r="E40" i="4"/>
  <c r="E38" i="4"/>
  <c r="E41" i="4"/>
  <c r="E39" i="4"/>
  <c r="E41" i="3"/>
  <c r="E40" i="3"/>
  <c r="E39" i="3"/>
  <c r="E38" i="3"/>
  <c r="F116" i="3"/>
  <c r="D99" i="4" l="1"/>
  <c r="B42" i="8" s="1"/>
  <c r="E93" i="4"/>
  <c r="E91" i="4"/>
  <c r="E92" i="4"/>
  <c r="D52" i="3"/>
  <c r="D50" i="3"/>
  <c r="D51" i="3" s="1"/>
  <c r="D50" i="4"/>
  <c r="D51" i="4" s="1"/>
  <c r="E42" i="4"/>
  <c r="G42" i="4"/>
  <c r="D52" i="4"/>
  <c r="G70" i="3"/>
  <c r="H70" i="3" s="1"/>
  <c r="G69" i="3"/>
  <c r="H69" i="3" s="1"/>
  <c r="G64" i="3"/>
  <c r="H64" i="3" s="1"/>
  <c r="G68" i="3"/>
  <c r="H68" i="3" s="1"/>
  <c r="G62" i="3"/>
  <c r="H62" i="3" s="1"/>
  <c r="G66" i="3"/>
  <c r="H66" i="3" s="1"/>
  <c r="G65" i="3"/>
  <c r="H65" i="3" s="1"/>
  <c r="G61" i="3"/>
  <c r="H61" i="3" s="1"/>
  <c r="E95" i="4" l="1"/>
  <c r="D103" i="4"/>
  <c r="D105" i="4"/>
  <c r="G64" i="4"/>
  <c r="H64" i="4" s="1"/>
  <c r="G70" i="4"/>
  <c r="H70" i="4" s="1"/>
  <c r="G61" i="4"/>
  <c r="H61" i="4" s="1"/>
  <c r="G60" i="3"/>
  <c r="H60" i="3" s="1"/>
  <c r="H72" i="3" s="1"/>
  <c r="G76" i="3" s="1"/>
  <c r="G60" i="4"/>
  <c r="H60" i="4" s="1"/>
  <c r="G65" i="4"/>
  <c r="H65" i="4" s="1"/>
  <c r="G62" i="4"/>
  <c r="H62" i="4" s="1"/>
  <c r="G68" i="4"/>
  <c r="H68" i="4" s="1"/>
  <c r="G69" i="4"/>
  <c r="H69" i="4" s="1"/>
  <c r="G66" i="4"/>
  <c r="H66" i="4" s="1"/>
  <c r="H72" i="4" l="1"/>
  <c r="G76" i="4" s="1"/>
  <c r="D104" i="4"/>
  <c r="E111" i="4"/>
  <c r="F111" i="4" s="1"/>
  <c r="E108" i="4"/>
  <c r="F108" i="4" s="1"/>
  <c r="E113" i="4"/>
  <c r="F113" i="4" s="1"/>
  <c r="E110" i="4"/>
  <c r="F110" i="4" s="1"/>
  <c r="E112" i="4"/>
  <c r="F112" i="4" s="1"/>
  <c r="E109" i="4"/>
  <c r="F109" i="4" s="1"/>
  <c r="H74" i="4"/>
  <c r="H74" i="3"/>
  <c r="H73" i="3"/>
  <c r="F117" i="4" l="1"/>
  <c r="F115" i="4"/>
  <c r="H73" i="4"/>
  <c r="G120" i="4" l="1"/>
  <c r="F116" i="4"/>
</calcChain>
</file>

<file path=xl/sharedStrings.xml><?xml version="1.0" encoding="utf-8"?>
<sst xmlns="http://schemas.openxmlformats.org/spreadsheetml/2006/main" count="435" uniqueCount="137">
  <si>
    <t>HPLC System Suitability Report</t>
  </si>
  <si>
    <t>Analysis Data</t>
  </si>
  <si>
    <t>Assay</t>
  </si>
  <si>
    <t>Sample(s)</t>
  </si>
  <si>
    <t>Reference Substance:</t>
  </si>
  <si>
    <t>COMBIPAIN TABLET</t>
  </si>
  <si>
    <t>% age Purity:</t>
  </si>
  <si>
    <t>NDQD201503138</t>
  </si>
  <si>
    <t>Weight (mg):</t>
  </si>
  <si>
    <t>Ibuprofen + Paracetamol</t>
  </si>
  <si>
    <t>Standard Conc (mg/mL):</t>
  </si>
  <si>
    <t>Ibuprofen 400 mg Paracetamol 324 mg</t>
  </si>
  <si>
    <t>2015-03-18 07:04:25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</si>
  <si>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</si>
  <si>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</si>
  <si>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</si>
  <si>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</si>
  <si>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</si>
  <si>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</si>
  <si>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</si>
  <si>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</si>
  <si>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</si>
  <si>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</si>
  <si>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</si>
  <si>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</si>
  <si>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</si>
  <si>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</si>
  <si>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</si>
  <si>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</si>
  <si>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</si>
  <si>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</si>
  <si>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</si>
  <si>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</si>
  <si>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</si>
  <si>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</si>
  <si>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</si>
  <si>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</si>
  <si>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</si>
  <si>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</si>
  <si>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</si>
  <si>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</si>
  <si>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</si>
  <si>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</si>
  <si>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</si>
  <si>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</si>
  <si>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</si>
  <si>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</si>
  <si>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</si>
  <si>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</si>
  <si>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</si>
  <si>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</si>
  <si>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</si>
  <si>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</si>
  <si>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</si>
  <si>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</si>
  <si>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</si>
  <si>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</si>
  <si>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</si>
  <si>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</si>
  <si>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</si>
  <si>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</si>
  <si>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</si>
  <si>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</si>
  <si>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</si>
  <si>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</si>
  <si>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</si>
  <si>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</si>
  <si>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</si>
  <si>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</si>
  <si>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</si>
  <si>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</si>
  <si>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</si>
  <si>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</si>
  <si>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</si>
  <si>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</si>
  <si>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</si>
  <si>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</si>
  <si>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</si>
  <si>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</si>
  <si>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</si>
  <si>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</si>
  <si>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</si>
  <si>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</si>
  <si>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</si>
  <si>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</si>
  <si>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</si>
  <si>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</si>
  <si>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</si>
  <si>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</si>
  <si>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</si>
  <si>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</si>
  <si>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</si>
  <si>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</si>
  <si>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</si>
  <si>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</si>
  <si>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</si>
  <si>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</si>
  <si>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</si>
  <si>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</si>
  <si>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</si>
  <si>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</si>
  <si>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</si>
  <si>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</si>
  <si>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</si>
  <si>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</si>
  <si>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</si>
  <si>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</si>
  <si>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</si>
  <si>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</si>
  <si>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</si>
  <si>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</si>
  <si>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</si>
  <si>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</si>
  <si>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</si>
  <si>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</si>
  <si>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</si>
  <si>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</si>
  <si>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</si>
  <si>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</si>
  <si>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</si>
  <si>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Paracetamol</t>
  </si>
  <si>
    <t>WRS/P1-3</t>
  </si>
  <si>
    <t>Ibuprofen 400 mg Paracetamol 325 mg</t>
  </si>
  <si>
    <t xml:space="preserve">IBUPROFEN </t>
  </si>
  <si>
    <t>WRS/I1-3</t>
  </si>
  <si>
    <t>24th May 2016</t>
  </si>
  <si>
    <t>30th may 2016</t>
  </si>
  <si>
    <t xml:space="preserve">Ibuprofen </t>
  </si>
  <si>
    <t>JOYFRIDA</t>
  </si>
  <si>
    <t xml:space="preserve">                                                                                                        </t>
  </si>
  <si>
    <t>30th May 2016</t>
  </si>
  <si>
    <t>Average Tablet Weight (mg):</t>
  </si>
  <si>
    <t>Each tablet contains</t>
  </si>
  <si>
    <t>Tablet No.</t>
  </si>
  <si>
    <t>COMBIPAIN TABLET (REPEAT ASSAY)</t>
  </si>
  <si>
    <t>Ibuprofen 400 mg and Paracetamol 325 mg</t>
  </si>
  <si>
    <t>Each Tablet contains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</si>
</sst>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1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13" fillId="6" borderId="46" xfId="0" applyNumberFormat="1" applyFont="1" applyFill="1" applyBorder="1" applyAlignment="1">
      <alignment horizontal="center"/>
    </xf>
    <xf numFmtId="0" fontId="13" fillId="3" borderId="0" xfId="0" applyNumberFormat="1" applyFont="1" applyFill="1" applyAlignment="1" applyProtection="1">
      <alignment horizontal="center"/>
      <protection locked="0"/>
    </xf>
    <xf numFmtId="0" fontId="24" fillId="2" borderId="0" xfId="0" applyFont="1" applyFill="1" applyAlignment="1">
      <alignment horizontal="center"/>
    </xf>
    <xf numFmtId="2" fontId="25" fillId="2" borderId="0" xfId="0" applyNumberFormat="1" applyFont="1" applyFill="1" applyAlignment="1">
      <alignment horizontal="center"/>
    </xf>
    <xf numFmtId="2" fontId="25" fillId="0" borderId="0" xfId="0" applyNumberFormat="1" applyFont="1" applyFill="1" applyAlignment="1">
      <alignment horizontal="center"/>
    </xf>
    <xf numFmtId="164" fontId="25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left"/>
    </xf>
    <xf numFmtId="2" fontId="26" fillId="3" borderId="5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3" fillId="3" borderId="0" xfId="0" applyFont="1" applyFill="1" applyAlignment="1" applyProtection="1">
      <alignment horizontal="left" wrapText="1"/>
      <protection locked="0"/>
    </xf>
    <xf numFmtId="0" fontId="23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vertical="center" wrapText="1"/>
    </xf>
    <xf numFmtId="0" fontId="2" fillId="2" borderId="0" xfId="0" applyFont="1" applyFill="1" applyBorder="1"/>
    <xf numFmtId="0" fontId="0" fillId="2" borderId="0" xfId="0" applyFill="1" applyBorder="1"/>
    <xf numFmtId="0" fontId="12" fillId="2" borderId="0" xfId="0" applyFont="1" applyFill="1" applyBorder="1" applyAlignment="1">
      <alignment vertical="center" wrapText="1"/>
    </xf>
    <xf numFmtId="0" fontId="18" fillId="2" borderId="0" xfId="0" applyFont="1" applyFill="1" applyBorder="1"/>
    <xf numFmtId="166" fontId="13" fillId="3" borderId="29" xfId="0" applyNumberFormat="1" applyFont="1" applyFill="1" applyBorder="1" applyAlignment="1" applyProtection="1">
      <alignment horizontal="center"/>
      <protection locked="0"/>
    </xf>
    <xf numFmtId="166" fontId="13" fillId="3" borderId="23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6" workbookViewId="0">
      <selection activeCell="B26" sqref="B26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467" t="s">
        <v>5</v>
      </c>
      <c r="D17" s="9"/>
      <c r="E17" s="10"/>
    </row>
    <row r="18" spans="1:6" ht="16.5" customHeight="1" x14ac:dyDescent="0.3">
      <c r="A18" s="11" t="s">
        <v>4</v>
      </c>
      <c r="B18" s="463" t="str">
        <f>Paracetamol!B26</f>
        <v>Paracetamol</v>
      </c>
      <c r="C18" s="10"/>
      <c r="D18" s="10"/>
      <c r="E18" s="10"/>
    </row>
    <row r="19" spans="1:6" ht="16.5" customHeight="1" x14ac:dyDescent="0.3">
      <c r="A19" s="11" t="s">
        <v>6</v>
      </c>
      <c r="B19" s="464">
        <f>Paracetamol!B28</f>
        <v>99.84</v>
      </c>
      <c r="C19" s="10"/>
      <c r="D19" s="10"/>
      <c r="E19" s="10"/>
    </row>
    <row r="20" spans="1:6" ht="16.5" customHeight="1" x14ac:dyDescent="0.3">
      <c r="A20" s="7" t="s">
        <v>8</v>
      </c>
      <c r="B20" s="465">
        <f>Paracetamol!F43</f>
        <v>19.68</v>
      </c>
      <c r="C20" s="10"/>
      <c r="D20" s="10"/>
      <c r="E20" s="10"/>
    </row>
    <row r="21" spans="1:6" ht="16.5" customHeight="1" x14ac:dyDescent="0.3">
      <c r="A21" s="7" t="s">
        <v>10</v>
      </c>
      <c r="B21" s="466">
        <f>B20/20*3/100</f>
        <v>2.9520000000000001E-2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11707717</v>
      </c>
      <c r="C24" s="18">
        <v>5471.41</v>
      </c>
      <c r="D24" s="19">
        <v>1.53</v>
      </c>
      <c r="E24" s="20">
        <v>2.81</v>
      </c>
    </row>
    <row r="25" spans="1:6" ht="16.5" customHeight="1" x14ac:dyDescent="0.3">
      <c r="A25" s="17">
        <v>2</v>
      </c>
      <c r="B25" s="18">
        <v>11681097</v>
      </c>
      <c r="C25" s="18">
        <v>5449.97</v>
      </c>
      <c r="D25" s="19">
        <v>1.53</v>
      </c>
      <c r="E25" s="19">
        <v>2.81</v>
      </c>
    </row>
    <row r="26" spans="1:6" ht="16.5" customHeight="1" x14ac:dyDescent="0.3">
      <c r="A26" s="17">
        <v>3</v>
      </c>
      <c r="B26" s="18">
        <v>11715815</v>
      </c>
      <c r="C26" s="18">
        <v>5321.26</v>
      </c>
      <c r="D26" s="19">
        <v>1.48</v>
      </c>
      <c r="E26" s="19">
        <v>2.81</v>
      </c>
    </row>
    <row r="27" spans="1:6" ht="16.5" customHeight="1" x14ac:dyDescent="0.3">
      <c r="A27" s="17">
        <v>4</v>
      </c>
      <c r="B27" s="18">
        <v>11631388</v>
      </c>
      <c r="C27" s="18">
        <v>5389.82</v>
      </c>
      <c r="D27" s="19">
        <v>1.49</v>
      </c>
      <c r="E27" s="19">
        <v>2.81</v>
      </c>
    </row>
    <row r="28" spans="1:6" ht="16.5" customHeight="1" x14ac:dyDescent="0.3">
      <c r="A28" s="17">
        <v>5</v>
      </c>
      <c r="B28" s="18">
        <v>11710139</v>
      </c>
      <c r="C28" s="18">
        <v>5425.66</v>
      </c>
      <c r="D28" s="19">
        <v>1.53</v>
      </c>
      <c r="E28" s="19">
        <v>2.81</v>
      </c>
    </row>
    <row r="29" spans="1:6" ht="16.5" customHeight="1" x14ac:dyDescent="0.3">
      <c r="A29" s="17">
        <v>6</v>
      </c>
      <c r="B29" s="21">
        <v>11714365</v>
      </c>
      <c r="C29" s="21">
        <v>5455.08</v>
      </c>
      <c r="D29" s="22">
        <v>1.51</v>
      </c>
      <c r="E29" s="19">
        <v>2.81</v>
      </c>
    </row>
    <row r="30" spans="1:6" ht="16.5" customHeight="1" x14ac:dyDescent="0.3">
      <c r="A30" s="23" t="s">
        <v>18</v>
      </c>
      <c r="B30" s="24">
        <f>AVERAGE(B24:B29)</f>
        <v>11693420.166666666</v>
      </c>
      <c r="C30" s="25">
        <f>AVERAGE(C24:C29)</f>
        <v>5418.8666666666659</v>
      </c>
      <c r="D30" s="26">
        <v>1.51</v>
      </c>
      <c r="E30" s="26">
        <f>AVERAGE(E24:E29)</f>
        <v>2.81</v>
      </c>
    </row>
    <row r="31" spans="1:6" ht="16.5" customHeight="1" x14ac:dyDescent="0.3">
      <c r="A31" s="27" t="s">
        <v>19</v>
      </c>
      <c r="B31" s="28">
        <f>(STDEV(B24:B29)/B30)</f>
        <v>2.8166483214781025E-3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471" t="s">
        <v>26</v>
      </c>
      <c r="C59" s="471"/>
      <c r="E59" s="45" t="s">
        <v>27</v>
      </c>
      <c r="F59" s="46"/>
      <c r="G59" s="45" t="s">
        <v>28</v>
      </c>
    </row>
    <row r="60" spans="1:7" ht="26.25" customHeight="1" x14ac:dyDescent="0.3">
      <c r="A60" s="47" t="s">
        <v>29</v>
      </c>
      <c r="B60" s="48"/>
      <c r="C60" s="48"/>
      <c r="E60" s="48"/>
      <c r="F60" s="2"/>
      <c r="G60" s="49"/>
    </row>
    <row r="61" spans="1:7" ht="28.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C20" sqref="C20"/>
    </sheetView>
  </sheetViews>
  <sheetFormatPr defaultColWidth="9.109375" defaultRowHeight="13.8" x14ac:dyDescent="0.3"/>
  <cols>
    <col min="1" max="1" width="27.5546875" style="460" customWidth="1"/>
    <col min="2" max="2" width="20.44140625" style="460" customWidth="1"/>
    <col min="3" max="3" width="31.88671875" style="460" customWidth="1"/>
    <col min="4" max="4" width="25.88671875" style="460" customWidth="1"/>
    <col min="5" max="5" width="25.6640625" style="460" customWidth="1"/>
    <col min="6" max="6" width="23.109375" style="460" customWidth="1"/>
    <col min="7" max="7" width="28.44140625" style="460" customWidth="1"/>
    <col min="8" max="8" width="21.5546875" style="460" customWidth="1"/>
    <col min="9" max="9" width="9.109375" style="460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467" t="s">
        <v>5</v>
      </c>
      <c r="D17" s="9"/>
      <c r="E17" s="72"/>
    </row>
    <row r="18" spans="1:5" ht="16.5" customHeight="1" x14ac:dyDescent="0.3">
      <c r="A18" s="75" t="s">
        <v>4</v>
      </c>
      <c r="B18" s="463" t="str">
        <f>Ibuprofen!B26</f>
        <v xml:space="preserve">IBUPROFEN </v>
      </c>
      <c r="C18" s="72"/>
      <c r="D18" s="72"/>
      <c r="E18" s="72"/>
    </row>
    <row r="19" spans="1:5" ht="16.5" customHeight="1" x14ac:dyDescent="0.3">
      <c r="A19" s="75" t="s">
        <v>6</v>
      </c>
      <c r="B19" s="464">
        <f>Ibuprofen!B28</f>
        <v>99.9</v>
      </c>
      <c r="C19" s="72"/>
      <c r="D19" s="72"/>
      <c r="E19" s="72"/>
    </row>
    <row r="20" spans="1:5" ht="16.5" customHeight="1" x14ac:dyDescent="0.3">
      <c r="A20" s="8" t="s">
        <v>8</v>
      </c>
      <c r="B20" s="465">
        <v>20.47</v>
      </c>
      <c r="C20" s="72"/>
      <c r="D20" s="72"/>
      <c r="E20" s="72"/>
    </row>
    <row r="21" spans="1:5" ht="16.5" customHeight="1" x14ac:dyDescent="0.3">
      <c r="A21" s="8" t="s">
        <v>10</v>
      </c>
      <c r="B21" s="466">
        <f>B20/20*4/100</f>
        <v>4.0939999999999997E-2</v>
      </c>
      <c r="C21" s="72"/>
      <c r="D21" s="72"/>
      <c r="E21" s="72"/>
    </row>
    <row r="22" spans="1:5" ht="15.75" customHeight="1" x14ac:dyDescent="0.3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712089</v>
      </c>
      <c r="C24" s="19">
        <v>8167.66</v>
      </c>
      <c r="D24" s="19">
        <v>1.29</v>
      </c>
      <c r="E24" s="20">
        <v>6.59</v>
      </c>
    </row>
    <row r="25" spans="1:5" ht="16.5" customHeight="1" x14ac:dyDescent="0.3">
      <c r="A25" s="17">
        <v>2</v>
      </c>
      <c r="B25" s="18">
        <v>707008</v>
      </c>
      <c r="C25" s="19">
        <v>8090.46</v>
      </c>
      <c r="D25" s="19">
        <v>1.27</v>
      </c>
      <c r="E25" s="19">
        <v>6.6</v>
      </c>
    </row>
    <row r="26" spans="1:5" ht="16.5" customHeight="1" x14ac:dyDescent="0.3">
      <c r="A26" s="17">
        <v>3</v>
      </c>
      <c r="B26" s="18">
        <v>713021</v>
      </c>
      <c r="C26" s="19">
        <v>7950.25</v>
      </c>
      <c r="D26" s="19">
        <v>1.3</v>
      </c>
      <c r="E26" s="19">
        <v>6.59</v>
      </c>
    </row>
    <row r="27" spans="1:5" ht="16.5" customHeight="1" x14ac:dyDescent="0.3">
      <c r="A27" s="17">
        <v>4</v>
      </c>
      <c r="B27" s="18">
        <v>704984</v>
      </c>
      <c r="C27" s="19">
        <v>7991.66</v>
      </c>
      <c r="D27" s="19">
        <v>1.3</v>
      </c>
      <c r="E27" s="19">
        <v>6.59</v>
      </c>
    </row>
    <row r="28" spans="1:5" ht="16.5" customHeight="1" x14ac:dyDescent="0.3">
      <c r="A28" s="17">
        <v>5</v>
      </c>
      <c r="B28" s="18">
        <v>712224</v>
      </c>
      <c r="C28" s="19">
        <v>7987.41</v>
      </c>
      <c r="D28" s="19">
        <v>1.29</v>
      </c>
      <c r="E28" s="19">
        <v>6.59</v>
      </c>
    </row>
    <row r="29" spans="1:5" ht="16.5" customHeight="1" x14ac:dyDescent="0.3">
      <c r="A29" s="17">
        <v>6</v>
      </c>
      <c r="B29" s="21">
        <v>715030</v>
      </c>
      <c r="C29" s="468">
        <v>7990.64</v>
      </c>
      <c r="D29" s="22">
        <v>1.3</v>
      </c>
      <c r="E29" s="22">
        <v>6.59</v>
      </c>
    </row>
    <row r="30" spans="1:5" ht="16.5" customHeight="1" x14ac:dyDescent="0.3">
      <c r="A30" s="23" t="s">
        <v>18</v>
      </c>
      <c r="B30" s="24">
        <f>AVERAGE(B24:B29)</f>
        <v>710726</v>
      </c>
      <c r="C30" s="25">
        <f>AVERAGE(C24:C29)</f>
        <v>8029.68</v>
      </c>
      <c r="D30" s="26">
        <f>AVERAGE(D24:D29)</f>
        <v>1.2916666666666667</v>
      </c>
      <c r="E30" s="26">
        <f>AVERAGE(E24:E29)</f>
        <v>6.5916666666666659</v>
      </c>
    </row>
    <row r="31" spans="1:5" ht="16.5" customHeight="1" x14ac:dyDescent="0.3">
      <c r="A31" s="27" t="s">
        <v>19</v>
      </c>
      <c r="B31" s="28">
        <f>(STDEV(B24:B29)/B30)</f>
        <v>5.4379621477328262E-3</v>
      </c>
      <c r="C31" s="29"/>
      <c r="D31" s="29"/>
      <c r="E31" s="30"/>
    </row>
    <row r="32" spans="1:5" s="46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60" customFormat="1" ht="15.75" customHeight="1" x14ac:dyDescent="0.3">
      <c r="A33" s="72"/>
      <c r="B33" s="72"/>
      <c r="C33" s="72"/>
      <c r="D33" s="72"/>
      <c r="E33" s="72"/>
    </row>
    <row r="34" spans="1:5" s="46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3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tr">
        <f>Ibuprofen!B79</f>
        <v xml:space="preserve">IBUPROFEN </v>
      </c>
      <c r="C39" s="72"/>
      <c r="D39" s="72"/>
      <c r="E39" s="72"/>
    </row>
    <row r="40" spans="1:5" ht="16.5" customHeight="1" x14ac:dyDescent="0.3">
      <c r="A40" s="75" t="s">
        <v>6</v>
      </c>
      <c r="B40" s="12">
        <f>Ibuprofen!B81</f>
        <v>99.9</v>
      </c>
      <c r="C40" s="72"/>
      <c r="D40" s="72"/>
      <c r="E40" s="72"/>
    </row>
    <row r="41" spans="1:5" ht="16.5" customHeight="1" x14ac:dyDescent="0.3">
      <c r="A41" s="8" t="s">
        <v>8</v>
      </c>
      <c r="B41" s="12">
        <f>Ibuprofen!D96</f>
        <v>22.91</v>
      </c>
      <c r="C41" s="72"/>
      <c r="D41" s="72"/>
      <c r="E41" s="72"/>
    </row>
    <row r="42" spans="1:5" ht="16.5" customHeight="1" x14ac:dyDescent="0.3">
      <c r="A42" s="8" t="s">
        <v>10</v>
      </c>
      <c r="B42" s="13">
        <f>Ibuprofen!D99</f>
        <v>9.1548360000000013E-3</v>
      </c>
      <c r="C42" s="72"/>
      <c r="D42" s="72"/>
      <c r="E42" s="72"/>
    </row>
    <row r="43" spans="1:5" ht="15.75" customHeight="1" x14ac:dyDescent="0.3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158890</v>
      </c>
      <c r="C45" s="18">
        <v>5452.59</v>
      </c>
      <c r="D45" s="19">
        <v>1.03</v>
      </c>
      <c r="E45" s="20">
        <v>6.62</v>
      </c>
    </row>
    <row r="46" spans="1:5" ht="16.5" customHeight="1" x14ac:dyDescent="0.3">
      <c r="A46" s="17">
        <v>2</v>
      </c>
      <c r="B46" s="18">
        <v>161840</v>
      </c>
      <c r="C46" s="18">
        <v>5734.04</v>
      </c>
      <c r="D46" s="19">
        <v>1.04</v>
      </c>
      <c r="E46" s="19">
        <v>6.61</v>
      </c>
    </row>
    <row r="47" spans="1:5" ht="16.5" customHeight="1" x14ac:dyDescent="0.3">
      <c r="A47" s="17">
        <v>3</v>
      </c>
      <c r="B47" s="18">
        <v>159381</v>
      </c>
      <c r="C47" s="18">
        <v>5569.44</v>
      </c>
      <c r="D47" s="19">
        <v>1.04</v>
      </c>
      <c r="E47" s="19">
        <v>6.61</v>
      </c>
    </row>
    <row r="48" spans="1:5" ht="16.5" customHeight="1" x14ac:dyDescent="0.3">
      <c r="A48" s="17">
        <v>4</v>
      </c>
      <c r="B48" s="18">
        <v>157792</v>
      </c>
      <c r="C48" s="18">
        <v>5609.58</v>
      </c>
      <c r="D48" s="19">
        <v>1.02</v>
      </c>
      <c r="E48" s="19">
        <v>6.61</v>
      </c>
    </row>
    <row r="49" spans="1:7" ht="16.5" customHeight="1" x14ac:dyDescent="0.3">
      <c r="A49" s="17">
        <v>5</v>
      </c>
      <c r="B49" s="18">
        <v>157890</v>
      </c>
      <c r="C49" s="18">
        <v>5562.32</v>
      </c>
      <c r="D49" s="19">
        <v>1.06</v>
      </c>
      <c r="E49" s="19">
        <v>6.59</v>
      </c>
    </row>
    <row r="50" spans="1:7" ht="16.5" customHeight="1" x14ac:dyDescent="0.3">
      <c r="A50" s="17">
        <v>6</v>
      </c>
      <c r="B50" s="21">
        <v>159922</v>
      </c>
      <c r="C50" s="21">
        <v>5995.59</v>
      </c>
      <c r="D50" s="22">
        <v>1.05</v>
      </c>
      <c r="E50" s="22">
        <v>6.61</v>
      </c>
    </row>
    <row r="51" spans="1:7" ht="16.5" customHeight="1" x14ac:dyDescent="0.3">
      <c r="A51" s="23" t="s">
        <v>18</v>
      </c>
      <c r="B51" s="24">
        <f>AVERAGE(B45:B50)</f>
        <v>159285.83333333334</v>
      </c>
      <c r="C51" s="25">
        <f>AVERAGE(C45:C50)</f>
        <v>5653.9266666666663</v>
      </c>
      <c r="D51" s="26">
        <f>AVERAGE(D45:D50)</f>
        <v>1.0400000000000003</v>
      </c>
      <c r="E51" s="26">
        <f>AVERAGE(E45:E50)</f>
        <v>6.6083333333333334</v>
      </c>
    </row>
    <row r="52" spans="1:7" ht="16.5" customHeight="1" x14ac:dyDescent="0.3">
      <c r="A52" s="27" t="s">
        <v>19</v>
      </c>
      <c r="B52" s="28">
        <f>(STDEV(B45:B50)/B51)</f>
        <v>9.4271166341771025E-3</v>
      </c>
      <c r="C52" s="29"/>
      <c r="D52" s="29"/>
      <c r="E52" s="30"/>
    </row>
    <row r="53" spans="1:7" s="460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60" customFormat="1" ht="15.75" customHeight="1" x14ac:dyDescent="0.3">
      <c r="A54" s="72"/>
      <c r="B54" s="72"/>
      <c r="C54" s="72"/>
      <c r="D54" s="72"/>
      <c r="E54" s="72"/>
    </row>
    <row r="55" spans="1:7" s="46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459"/>
      <c r="D58" s="43"/>
      <c r="F58" s="44"/>
      <c r="G58" s="44"/>
    </row>
    <row r="59" spans="1:7" ht="15" customHeight="1" x14ac:dyDescent="0.3">
      <c r="B59" s="471" t="s">
        <v>26</v>
      </c>
      <c r="C59" s="471"/>
      <c r="E59" s="45" t="s">
        <v>27</v>
      </c>
      <c r="F59" s="46"/>
      <c r="G59" s="45" t="s">
        <v>28</v>
      </c>
    </row>
    <row r="60" spans="1:7" ht="33" customHeight="1" x14ac:dyDescent="0.3">
      <c r="A60" s="47" t="s">
        <v>29</v>
      </c>
      <c r="B60" s="49"/>
      <c r="C60" s="49"/>
      <c r="E60" s="49"/>
      <c r="G60" s="49"/>
    </row>
    <row r="61" spans="1:7" ht="32.2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3" workbookViewId="0">
      <selection activeCell="B53" sqref="B53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75" t="s">
        <v>31</v>
      </c>
      <c r="B11" s="476"/>
      <c r="C11" s="476"/>
      <c r="D11" s="476"/>
      <c r="E11" s="476"/>
      <c r="F11" s="477"/>
      <c r="G11" s="91"/>
    </row>
    <row r="12" spans="1:7" ht="16.5" customHeight="1" x14ac:dyDescent="0.3">
      <c r="A12" s="474" t="s">
        <v>32</v>
      </c>
      <c r="B12" s="474"/>
      <c r="C12" s="474"/>
      <c r="D12" s="474"/>
      <c r="E12" s="474"/>
      <c r="F12" s="474"/>
      <c r="G12" s="90"/>
    </row>
    <row r="14" spans="1:7" ht="16.5" customHeight="1" x14ac:dyDescent="0.3">
      <c r="A14" s="479" t="s">
        <v>33</v>
      </c>
      <c r="B14" s="479"/>
      <c r="C14" s="60" t="s">
        <v>5</v>
      </c>
    </row>
    <row r="15" spans="1:7" ht="16.5" customHeight="1" x14ac:dyDescent="0.3">
      <c r="A15" s="479" t="s">
        <v>34</v>
      </c>
      <c r="B15" s="479"/>
      <c r="C15" s="60" t="s">
        <v>7</v>
      </c>
    </row>
    <row r="16" spans="1:7" ht="16.5" customHeight="1" x14ac:dyDescent="0.3">
      <c r="A16" s="479" t="s">
        <v>35</v>
      </c>
      <c r="B16" s="479"/>
      <c r="C16" s="60" t="s">
        <v>9</v>
      </c>
    </row>
    <row r="17" spans="1:5" ht="16.5" customHeight="1" x14ac:dyDescent="0.3">
      <c r="A17" s="479" t="s">
        <v>36</v>
      </c>
      <c r="B17" s="479"/>
      <c r="C17" s="60" t="s">
        <v>11</v>
      </c>
    </row>
    <row r="18" spans="1:5" ht="16.5" customHeight="1" x14ac:dyDescent="0.3">
      <c r="A18" s="479" t="s">
        <v>37</v>
      </c>
      <c r="B18" s="479"/>
      <c r="C18" s="97" t="s">
        <v>12</v>
      </c>
    </row>
    <row r="19" spans="1:5" ht="16.5" customHeight="1" x14ac:dyDescent="0.3">
      <c r="A19" s="479" t="s">
        <v>38</v>
      </c>
      <c r="B19" s="47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4" t="s">
        <v>1</v>
      </c>
      <c r="B21" s="474"/>
      <c r="C21" s="59" t="s">
        <v>39</v>
      </c>
      <c r="D21" s="66"/>
    </row>
    <row r="22" spans="1:5" ht="15.75" customHeight="1" x14ac:dyDescent="0.3">
      <c r="A22" s="478"/>
      <c r="B22" s="478"/>
      <c r="C22" s="57"/>
      <c r="D22" s="478"/>
      <c r="E22" s="47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1044.96</v>
      </c>
      <c r="D24" s="87">
        <f t="shared" ref="D24:D43" si="0">(C24-$C$46)/$C$46</f>
        <v>-1.9736845246991412E-3</v>
      </c>
      <c r="E24" s="53"/>
    </row>
    <row r="25" spans="1:5" ht="15.75" customHeight="1" x14ac:dyDescent="0.3">
      <c r="C25" s="95">
        <v>1042.18</v>
      </c>
      <c r="D25" s="88">
        <f t="shared" si="0"/>
        <v>-4.6288226706772736E-3</v>
      </c>
      <c r="E25" s="53"/>
    </row>
    <row r="26" spans="1:5" ht="15.75" customHeight="1" x14ac:dyDescent="0.3">
      <c r="C26" s="95">
        <v>1044.21</v>
      </c>
      <c r="D26" s="88">
        <f t="shared" si="0"/>
        <v>-2.6899987727148317E-3</v>
      </c>
      <c r="E26" s="53"/>
    </row>
    <row r="27" spans="1:5" ht="15.75" customHeight="1" x14ac:dyDescent="0.3">
      <c r="C27" s="95">
        <v>1048.3900000000001</v>
      </c>
      <c r="D27" s="88">
        <f t="shared" si="0"/>
        <v>1.3022593028926758E-3</v>
      </c>
      <c r="E27" s="53"/>
    </row>
    <row r="28" spans="1:5" ht="15.75" customHeight="1" x14ac:dyDescent="0.3">
      <c r="C28" s="95">
        <v>1043.42</v>
      </c>
      <c r="D28" s="88">
        <f t="shared" si="0"/>
        <v>-3.4445164472913237E-3</v>
      </c>
      <c r="E28" s="53"/>
    </row>
    <row r="29" spans="1:5" ht="15.75" customHeight="1" x14ac:dyDescent="0.3">
      <c r="C29" s="95">
        <v>1025.8399999999999</v>
      </c>
      <c r="D29" s="88">
        <f t="shared" si="0"/>
        <v>-2.0234922420779251E-2</v>
      </c>
      <c r="E29" s="53"/>
    </row>
    <row r="30" spans="1:5" ht="15.75" customHeight="1" x14ac:dyDescent="0.3">
      <c r="C30" s="95">
        <v>1050.8399999999999</v>
      </c>
      <c r="D30" s="88">
        <f t="shared" si="0"/>
        <v>3.6422191797437567E-3</v>
      </c>
      <c r="E30" s="53"/>
    </row>
    <row r="31" spans="1:5" ht="15.75" customHeight="1" x14ac:dyDescent="0.3">
      <c r="C31" s="95">
        <v>1045.98</v>
      </c>
      <c r="D31" s="88">
        <f t="shared" si="0"/>
        <v>-9.9949714739782009E-4</v>
      </c>
      <c r="E31" s="53"/>
    </row>
    <row r="32" spans="1:5" ht="15.75" customHeight="1" x14ac:dyDescent="0.3">
      <c r="C32" s="95">
        <v>1043.78</v>
      </c>
      <c r="D32" s="88">
        <f t="shared" si="0"/>
        <v>-3.1006856082438881E-3</v>
      </c>
      <c r="E32" s="53"/>
    </row>
    <row r="33" spans="1:7" ht="15.75" customHeight="1" x14ac:dyDescent="0.3">
      <c r="C33" s="95">
        <v>1041.44</v>
      </c>
      <c r="D33" s="88">
        <f t="shared" si="0"/>
        <v>-5.3355860620527629E-3</v>
      </c>
      <c r="E33" s="53"/>
    </row>
    <row r="34" spans="1:7" ht="15.75" customHeight="1" x14ac:dyDescent="0.3">
      <c r="C34" s="95">
        <v>1046.6500000000001</v>
      </c>
      <c r="D34" s="88">
        <f t="shared" si="0"/>
        <v>-3.5958975250373402E-4</v>
      </c>
      <c r="E34" s="53"/>
    </row>
    <row r="35" spans="1:7" ht="15.75" customHeight="1" x14ac:dyDescent="0.3">
      <c r="C35" s="95">
        <v>1061.8599999999999</v>
      </c>
      <c r="D35" s="88">
        <f t="shared" si="0"/>
        <v>1.416726319725428E-2</v>
      </c>
      <c r="E35" s="53"/>
    </row>
    <row r="36" spans="1:7" ht="15.75" customHeight="1" x14ac:dyDescent="0.3">
      <c r="C36" s="95">
        <v>1066.3699999999999</v>
      </c>
      <c r="D36" s="88">
        <f t="shared" si="0"/>
        <v>1.8474699541988621E-2</v>
      </c>
      <c r="E36" s="53"/>
    </row>
    <row r="37" spans="1:7" ht="15.75" customHeight="1" x14ac:dyDescent="0.3">
      <c r="C37" s="95">
        <v>1047.47</v>
      </c>
      <c r="D37" s="88">
        <f t="shared" si="0"/>
        <v>4.235804919933598E-4</v>
      </c>
      <c r="E37" s="53"/>
    </row>
    <row r="38" spans="1:7" ht="15.75" customHeight="1" x14ac:dyDescent="0.3">
      <c r="C38" s="95">
        <v>1038.8800000000001</v>
      </c>
      <c r="D38" s="88">
        <f t="shared" si="0"/>
        <v>-7.7806053619462667E-3</v>
      </c>
      <c r="E38" s="53"/>
    </row>
    <row r="39" spans="1:7" ht="15.75" customHeight="1" x14ac:dyDescent="0.3">
      <c r="C39" s="95">
        <v>1036.96</v>
      </c>
      <c r="D39" s="88">
        <f t="shared" si="0"/>
        <v>-9.6143698368665025E-3</v>
      </c>
      <c r="E39" s="53"/>
    </row>
    <row r="40" spans="1:7" ht="15.75" customHeight="1" x14ac:dyDescent="0.3">
      <c r="C40" s="95">
        <v>1050.82</v>
      </c>
      <c r="D40" s="88">
        <f t="shared" si="0"/>
        <v>3.6231174664633557E-3</v>
      </c>
      <c r="E40" s="53"/>
    </row>
    <row r="41" spans="1:7" ht="15.75" customHeight="1" x14ac:dyDescent="0.3">
      <c r="C41" s="95">
        <v>1050.6600000000001</v>
      </c>
      <c r="D41" s="88">
        <f t="shared" si="0"/>
        <v>3.4703037602201474E-3</v>
      </c>
      <c r="E41" s="53"/>
    </row>
    <row r="42" spans="1:7" ht="15.75" customHeight="1" x14ac:dyDescent="0.3">
      <c r="C42" s="95">
        <v>1058.55</v>
      </c>
      <c r="D42" s="88">
        <f t="shared" si="0"/>
        <v>1.1005929649345087E-2</v>
      </c>
      <c r="E42" s="53"/>
    </row>
    <row r="43" spans="1:7" ht="16.5" customHeight="1" x14ac:dyDescent="0.3">
      <c r="C43" s="96">
        <v>1051.27</v>
      </c>
      <c r="D43" s="89">
        <f t="shared" si="0"/>
        <v>4.0529060152728136E-3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20940.53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1047.0264999999999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2">
        <f>C46</f>
        <v>1047.0264999999999</v>
      </c>
      <c r="C49" s="93">
        <f>-IF(C46&lt;=80,10%,IF(C46&lt;250,7.5%,5%))</f>
        <v>-0.05</v>
      </c>
      <c r="D49" s="81">
        <f>IF(C46&lt;=80,C46*0.9,IF(C46&lt;250,C46*0.925,C46*0.95))</f>
        <v>994.67517499999985</v>
      </c>
    </row>
    <row r="50" spans="1:6" ht="17.25" customHeight="1" x14ac:dyDescent="0.3">
      <c r="B50" s="473"/>
      <c r="C50" s="94">
        <f>IF(C46&lt;=80, 10%, IF(C46&lt;250, 7.5%, 5%))</f>
        <v>0.05</v>
      </c>
      <c r="D50" s="81">
        <f>IF(C46&lt;=80, C46*1.1, IF(C46&lt;250, C46*1.075, C46*1.05))</f>
        <v>1099.377825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 t="s">
        <v>128</v>
      </c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0"/>
  <sheetViews>
    <sheetView topLeftCell="A79" zoomScale="60" zoomScaleNormal="60" workbookViewId="0">
      <selection activeCell="B105" sqref="B10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524" customWidth="1"/>
    <col min="12" max="12" width="9.109375" style="524"/>
    <col min="13" max="16384" width="9.109375" style="525"/>
  </cols>
  <sheetData>
    <row r="1" spans="1:12" customForma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customForma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customForma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customForma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customForma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customForma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customForma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customForma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customForma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customForma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customForma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customForma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customForma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customFormat="1" ht="19.5" customHeight="1" x14ac:dyDescent="0.35">
      <c r="A15" s="9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customFormat="1" ht="19.5" customHeight="1" x14ac:dyDescent="0.35">
      <c r="A16" s="482" t="s">
        <v>31</v>
      </c>
      <c r="B16" s="483"/>
      <c r="C16" s="483"/>
      <c r="D16" s="483"/>
      <c r="E16" s="483"/>
      <c r="F16" s="483"/>
      <c r="G16" s="483"/>
      <c r="H16" s="484"/>
      <c r="I16" s="2"/>
      <c r="J16" s="2"/>
      <c r="K16" s="2"/>
      <c r="L16" s="2"/>
    </row>
    <row r="17" spans="1:14" customFormat="1" ht="20.25" customHeight="1" x14ac:dyDescent="0.3">
      <c r="A17" s="485" t="s">
        <v>45</v>
      </c>
      <c r="B17" s="485"/>
      <c r="C17" s="485"/>
      <c r="D17" s="485"/>
      <c r="E17" s="485"/>
      <c r="F17" s="485"/>
      <c r="G17" s="485"/>
      <c r="H17" s="485"/>
      <c r="I17" s="2"/>
      <c r="J17" s="2"/>
      <c r="K17" s="2"/>
      <c r="L17" s="2"/>
    </row>
    <row r="18" spans="1:14" customFormat="1" ht="26.25" customHeight="1" x14ac:dyDescent="0.5">
      <c r="A18" s="100" t="s">
        <v>33</v>
      </c>
      <c r="B18" s="481" t="s">
        <v>134</v>
      </c>
      <c r="C18" s="481"/>
      <c r="D18" s="276"/>
      <c r="E18" s="101"/>
      <c r="F18" s="102"/>
      <c r="G18" s="102"/>
      <c r="H18" s="102"/>
      <c r="I18" s="2"/>
      <c r="J18" s="2"/>
      <c r="K18" s="2"/>
      <c r="L18" s="2"/>
    </row>
    <row r="19" spans="1:14" customFormat="1" ht="26.25" customHeight="1" x14ac:dyDescent="0.5">
      <c r="A19" s="100" t="s">
        <v>34</v>
      </c>
      <c r="B19" s="103" t="s">
        <v>7</v>
      </c>
      <c r="C19" s="102">
        <v>1</v>
      </c>
      <c r="D19" s="102"/>
      <c r="E19" s="102"/>
      <c r="F19" s="102"/>
      <c r="G19" s="102"/>
      <c r="H19" s="102"/>
      <c r="I19" s="2"/>
      <c r="J19" s="2"/>
      <c r="K19" s="2"/>
      <c r="L19" s="2"/>
    </row>
    <row r="20" spans="1:14" customFormat="1" ht="26.25" customHeight="1" x14ac:dyDescent="0.5">
      <c r="A20" s="100" t="s">
        <v>35</v>
      </c>
      <c r="B20" s="486" t="s">
        <v>120</v>
      </c>
      <c r="C20" s="486"/>
      <c r="D20" s="102"/>
      <c r="E20" s="102"/>
      <c r="F20" s="102"/>
      <c r="G20" s="102"/>
      <c r="H20" s="102"/>
      <c r="I20" s="2"/>
      <c r="J20" s="2"/>
      <c r="K20" s="2"/>
      <c r="L20" s="2"/>
    </row>
    <row r="21" spans="1:14" customFormat="1" ht="26.25" customHeight="1" x14ac:dyDescent="0.5">
      <c r="A21" s="100" t="s">
        <v>36</v>
      </c>
      <c r="B21" s="487" t="s">
        <v>122</v>
      </c>
      <c r="C21" s="486"/>
      <c r="D21" s="486"/>
      <c r="E21" s="486"/>
      <c r="F21" s="486"/>
      <c r="G21" s="486"/>
      <c r="H21" s="486"/>
      <c r="I21" s="104"/>
      <c r="J21" s="2"/>
      <c r="K21" s="2"/>
      <c r="L21" s="2"/>
    </row>
    <row r="22" spans="1:14" customFormat="1" ht="26.25" customHeight="1" x14ac:dyDescent="0.5">
      <c r="A22" s="100" t="s">
        <v>37</v>
      </c>
      <c r="B22" s="105" t="s">
        <v>125</v>
      </c>
      <c r="C22" s="102"/>
      <c r="D22" s="102"/>
      <c r="E22" s="102"/>
      <c r="F22" s="102"/>
      <c r="G22" s="102"/>
      <c r="H22" s="102"/>
      <c r="I22" s="2"/>
      <c r="J22" s="2"/>
      <c r="K22" s="2"/>
      <c r="L22" s="2"/>
    </row>
    <row r="23" spans="1:14" customFormat="1" ht="26.25" customHeight="1" x14ac:dyDescent="0.5">
      <c r="A23" s="100" t="s">
        <v>38</v>
      </c>
      <c r="B23" s="105" t="s">
        <v>126</v>
      </c>
      <c r="C23" s="102"/>
      <c r="D23" s="102"/>
      <c r="E23" s="102"/>
      <c r="F23" s="102"/>
      <c r="G23" s="102"/>
      <c r="H23" s="102"/>
      <c r="I23" s="2"/>
      <c r="J23" s="2"/>
      <c r="K23" s="2"/>
      <c r="L23" s="2"/>
    </row>
    <row r="24" spans="1:14" customFormat="1" ht="18" x14ac:dyDescent="0.35">
      <c r="A24" s="100"/>
      <c r="B24" s="106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4" customFormat="1" ht="18" x14ac:dyDescent="0.35">
      <c r="A25" s="107" t="s">
        <v>1</v>
      </c>
      <c r="B25" s="106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4" customFormat="1" ht="26.25" customHeight="1" x14ac:dyDescent="0.45">
      <c r="A26" s="108" t="s">
        <v>4</v>
      </c>
      <c r="B26" s="480" t="s">
        <v>120</v>
      </c>
      <c r="C26" s="481"/>
      <c r="D26" s="2"/>
      <c r="E26" s="2"/>
      <c r="F26" s="2"/>
      <c r="G26" s="2"/>
      <c r="H26" s="2"/>
      <c r="I26" s="2"/>
      <c r="J26" s="2"/>
      <c r="K26" s="2"/>
      <c r="L26" s="2"/>
    </row>
    <row r="27" spans="1:14" customFormat="1" ht="26.25" customHeight="1" x14ac:dyDescent="0.5">
      <c r="A27" s="109" t="s">
        <v>46</v>
      </c>
      <c r="B27" s="488" t="s">
        <v>121</v>
      </c>
      <c r="C27" s="489"/>
      <c r="D27" s="2"/>
      <c r="E27" s="2"/>
      <c r="F27" s="2"/>
      <c r="G27" s="2"/>
      <c r="H27" s="2"/>
      <c r="I27" s="2"/>
      <c r="J27" s="2"/>
      <c r="K27" s="2"/>
      <c r="L27" s="2"/>
    </row>
    <row r="28" spans="1:14" ht="27" customHeight="1" x14ac:dyDescent="0.45">
      <c r="A28" s="109" t="s">
        <v>6</v>
      </c>
      <c r="B28" s="462">
        <v>99.84</v>
      </c>
      <c r="H28" s="460"/>
    </row>
    <row r="29" spans="1:14" s="522" customFormat="1" ht="27" customHeight="1" x14ac:dyDescent="0.5">
      <c r="A29" s="109" t="s">
        <v>47</v>
      </c>
      <c r="B29" s="111">
        <v>0</v>
      </c>
      <c r="C29" s="490" t="s">
        <v>48</v>
      </c>
      <c r="D29" s="491"/>
      <c r="E29" s="491"/>
      <c r="F29" s="491"/>
      <c r="G29" s="492"/>
      <c r="H29" s="460"/>
      <c r="I29" s="112"/>
      <c r="J29" s="112"/>
      <c r="K29" s="523"/>
      <c r="L29" s="523"/>
    </row>
    <row r="30" spans="1:14" s="522" customFormat="1" ht="19.5" customHeight="1" x14ac:dyDescent="0.35">
      <c r="A30" s="109" t="s">
        <v>49</v>
      </c>
      <c r="B30" s="113">
        <f>B28-B29</f>
        <v>99.84</v>
      </c>
      <c r="C30" s="114"/>
      <c r="D30" s="114"/>
      <c r="E30" s="114"/>
      <c r="F30" s="114"/>
      <c r="G30" s="115"/>
      <c r="H30" s="460"/>
      <c r="I30" s="112"/>
      <c r="J30" s="112"/>
      <c r="K30" s="523"/>
      <c r="L30" s="523"/>
    </row>
    <row r="31" spans="1:14" s="522" customFormat="1" ht="27" customHeight="1" x14ac:dyDescent="0.45">
      <c r="A31" s="109" t="s">
        <v>50</v>
      </c>
      <c r="B31" s="116">
        <v>1</v>
      </c>
      <c r="C31" s="493" t="s">
        <v>51</v>
      </c>
      <c r="D31" s="494"/>
      <c r="E31" s="494"/>
      <c r="F31" s="494"/>
      <c r="G31" s="494"/>
      <c r="H31" s="495"/>
      <c r="I31" s="112"/>
      <c r="J31" s="112"/>
      <c r="K31" s="523"/>
      <c r="L31" s="523"/>
    </row>
    <row r="32" spans="1:14" s="522" customFormat="1" ht="27" customHeight="1" x14ac:dyDescent="0.45">
      <c r="A32" s="109" t="s">
        <v>52</v>
      </c>
      <c r="B32" s="116">
        <v>1</v>
      </c>
      <c r="C32" s="493" t="s">
        <v>53</v>
      </c>
      <c r="D32" s="494"/>
      <c r="E32" s="494"/>
      <c r="F32" s="494"/>
      <c r="G32" s="494"/>
      <c r="H32" s="495"/>
      <c r="I32" s="112"/>
      <c r="J32" s="112"/>
      <c r="K32" s="523"/>
      <c r="L32" s="526"/>
      <c r="M32" s="526"/>
      <c r="N32" s="527"/>
    </row>
    <row r="33" spans="1:14" s="522" customFormat="1" ht="17.25" customHeight="1" x14ac:dyDescent="0.35">
      <c r="A33" s="109"/>
      <c r="B33" s="118"/>
      <c r="C33" s="119"/>
      <c r="D33" s="119"/>
      <c r="E33" s="119"/>
      <c r="F33" s="119"/>
      <c r="G33" s="119"/>
      <c r="H33" s="119"/>
      <c r="I33" s="112"/>
      <c r="J33" s="112"/>
      <c r="K33" s="523"/>
      <c r="L33" s="526"/>
      <c r="M33" s="526"/>
      <c r="N33" s="527"/>
    </row>
    <row r="34" spans="1:14" s="522" customFormat="1" ht="18" x14ac:dyDescent="0.35">
      <c r="A34" s="109" t="s">
        <v>54</v>
      </c>
      <c r="B34" s="120">
        <f>B31/B32</f>
        <v>1</v>
      </c>
      <c r="C34" s="99" t="s">
        <v>55</v>
      </c>
      <c r="D34" s="99"/>
      <c r="E34" s="99"/>
      <c r="F34" s="99"/>
      <c r="G34" s="99"/>
      <c r="H34" s="291"/>
      <c r="I34" s="291"/>
      <c r="J34" s="112"/>
      <c r="K34" s="523"/>
      <c r="L34" s="526"/>
      <c r="M34" s="526"/>
      <c r="N34" s="527"/>
    </row>
    <row r="35" spans="1:14" s="522" customFormat="1" ht="19.5" customHeight="1" x14ac:dyDescent="0.35">
      <c r="A35" s="109"/>
      <c r="B35" s="113"/>
      <c r="C35" s="14"/>
      <c r="D35" s="14"/>
      <c r="E35" s="14"/>
      <c r="F35" s="14"/>
      <c r="G35" s="99"/>
      <c r="H35" s="291"/>
      <c r="I35" s="291"/>
      <c r="J35" s="112"/>
      <c r="K35" s="523"/>
      <c r="L35" s="526"/>
      <c r="M35" s="526"/>
      <c r="N35" s="527"/>
    </row>
    <row r="36" spans="1:14" s="522" customFormat="1" ht="27" customHeight="1" x14ac:dyDescent="0.45">
      <c r="A36" s="121" t="s">
        <v>56</v>
      </c>
      <c r="B36" s="122">
        <v>20</v>
      </c>
      <c r="C36" s="99"/>
      <c r="D36" s="496" t="s">
        <v>57</v>
      </c>
      <c r="E36" s="497"/>
      <c r="F36" s="496" t="s">
        <v>58</v>
      </c>
      <c r="G36" s="498"/>
      <c r="H36" s="291"/>
      <c r="I36" s="291"/>
      <c r="J36" s="112"/>
      <c r="K36" s="523"/>
      <c r="L36" s="526"/>
      <c r="M36" s="526"/>
      <c r="N36" s="527"/>
    </row>
    <row r="37" spans="1:14" s="522" customFormat="1" ht="27" customHeight="1" x14ac:dyDescent="0.45">
      <c r="A37" s="123" t="s">
        <v>59</v>
      </c>
      <c r="B37" s="124">
        <v>3</v>
      </c>
      <c r="C37" s="125" t="s">
        <v>60</v>
      </c>
      <c r="D37" s="126" t="s">
        <v>61</v>
      </c>
      <c r="E37" s="127" t="s">
        <v>62</v>
      </c>
      <c r="F37" s="126" t="s">
        <v>61</v>
      </c>
      <c r="G37" s="128" t="s">
        <v>62</v>
      </c>
      <c r="H37" s="291"/>
      <c r="I37" s="129" t="s">
        <v>63</v>
      </c>
      <c r="J37" s="112"/>
      <c r="K37" s="523"/>
      <c r="L37" s="526"/>
      <c r="M37" s="526"/>
      <c r="N37" s="527"/>
    </row>
    <row r="38" spans="1:14" s="522" customFormat="1" ht="26.25" customHeight="1" x14ac:dyDescent="0.45">
      <c r="A38" s="123" t="s">
        <v>64</v>
      </c>
      <c r="B38" s="124">
        <v>100</v>
      </c>
      <c r="C38" s="130">
        <v>1</v>
      </c>
      <c r="D38" s="131">
        <v>11963420</v>
      </c>
      <c r="E38" s="132">
        <f>IF(ISBLANK(D38),"-",$D$48/$D$45*D38)</f>
        <v>11970621.525909986</v>
      </c>
      <c r="F38" s="131">
        <v>11725783</v>
      </c>
      <c r="G38" s="133">
        <f>IF(ISBLANK(F38),"-",$D$48/$F$45*F38)</f>
        <v>11935543.007022619</v>
      </c>
      <c r="H38" s="291"/>
      <c r="I38" s="134"/>
      <c r="J38" s="112"/>
      <c r="K38" s="523"/>
      <c r="L38" s="526"/>
      <c r="M38" s="526"/>
      <c r="N38" s="527"/>
    </row>
    <row r="39" spans="1:14" s="522" customFormat="1" ht="26.25" customHeight="1" x14ac:dyDescent="0.45">
      <c r="A39" s="123" t="s">
        <v>65</v>
      </c>
      <c r="B39" s="124">
        <v>1</v>
      </c>
      <c r="C39" s="135">
        <v>2</v>
      </c>
      <c r="D39" s="136">
        <v>11971078</v>
      </c>
      <c r="E39" s="137">
        <f>IF(ISBLANK(D39),"-",$D$48/$D$45*D39)</f>
        <v>11978284.135736058</v>
      </c>
      <c r="F39" s="136">
        <v>11654342</v>
      </c>
      <c r="G39" s="138">
        <f>IF(ISBLANK(F39),"-",$D$48/$F$45*F39)</f>
        <v>11862824.014357934</v>
      </c>
      <c r="H39" s="291"/>
      <c r="I39" s="499">
        <f>ABS((F43/D43*D42)-F42)/D42</f>
        <v>6.2237957291102902E-3</v>
      </c>
      <c r="J39" s="112"/>
      <c r="K39" s="523"/>
      <c r="L39" s="526"/>
      <c r="M39" s="526"/>
      <c r="N39" s="527"/>
    </row>
    <row r="40" spans="1:14" customFormat="1" ht="26.25" customHeight="1" x14ac:dyDescent="0.45">
      <c r="A40" s="123" t="s">
        <v>66</v>
      </c>
      <c r="B40" s="124">
        <v>1</v>
      </c>
      <c r="C40" s="135">
        <v>3</v>
      </c>
      <c r="D40" s="136">
        <v>11958755</v>
      </c>
      <c r="E40" s="137">
        <f>IF(ISBLANK(D40),"-",$D$48/$D$45*D40)</f>
        <v>11965953.717756601</v>
      </c>
      <c r="F40" s="136">
        <v>11680160</v>
      </c>
      <c r="G40" s="138">
        <f>IF(ISBLANK(F40),"-",$D$48/$F$45*F40)</f>
        <v>11889103.867000209</v>
      </c>
      <c r="H40" s="291"/>
      <c r="I40" s="499"/>
      <c r="J40" s="2"/>
      <c r="K40" s="2"/>
      <c r="L40" s="117"/>
      <c r="M40" s="117"/>
      <c r="N40" s="139"/>
    </row>
    <row r="41" spans="1:14" customFormat="1" ht="27" customHeight="1" x14ac:dyDescent="0.45">
      <c r="A41" s="123" t="s">
        <v>67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H41" s="2"/>
      <c r="I41" s="144"/>
      <c r="J41" s="2"/>
      <c r="K41" s="2"/>
      <c r="L41" s="117"/>
      <c r="M41" s="117"/>
      <c r="N41" s="139"/>
    </row>
    <row r="42" spans="1:14" customFormat="1" ht="27" customHeight="1" x14ac:dyDescent="0.45">
      <c r="A42" s="123" t="s">
        <v>68</v>
      </c>
      <c r="B42" s="124">
        <v>1</v>
      </c>
      <c r="C42" s="145" t="s">
        <v>69</v>
      </c>
      <c r="D42" s="146">
        <f>AVERAGE(D38:D41)</f>
        <v>11964417.666666666</v>
      </c>
      <c r="E42" s="147">
        <f>AVERAGE(E38:E41)</f>
        <v>11971619.793134214</v>
      </c>
      <c r="F42" s="146">
        <f>AVERAGE(F38:F41)</f>
        <v>11686761.666666666</v>
      </c>
      <c r="G42" s="148">
        <f>AVERAGE(G38:G41)</f>
        <v>11895823.629460253</v>
      </c>
      <c r="H42" s="149"/>
      <c r="I42" s="2"/>
      <c r="J42" s="2"/>
      <c r="K42" s="2"/>
      <c r="L42" s="2"/>
    </row>
    <row r="43" spans="1:14" customFormat="1" ht="26.25" customHeight="1" x14ac:dyDescent="0.45">
      <c r="A43" s="123" t="s">
        <v>70</v>
      </c>
      <c r="B43" s="124">
        <v>1</v>
      </c>
      <c r="C43" s="150" t="s">
        <v>71</v>
      </c>
      <c r="D43" s="151">
        <v>20.02</v>
      </c>
      <c r="E43" s="139"/>
      <c r="F43" s="151">
        <v>19.68</v>
      </c>
      <c r="G43" s="2"/>
      <c r="H43" s="149"/>
      <c r="I43" s="2"/>
      <c r="J43" s="2"/>
      <c r="K43" s="2"/>
      <c r="L43" s="2"/>
    </row>
    <row r="44" spans="1:14" customFormat="1" ht="26.25" customHeight="1" x14ac:dyDescent="0.45">
      <c r="A44" s="123" t="s">
        <v>72</v>
      </c>
      <c r="B44" s="124">
        <v>1</v>
      </c>
      <c r="C44" s="152" t="s">
        <v>73</v>
      </c>
      <c r="D44" s="153">
        <f>D43*$B$34</f>
        <v>20.02</v>
      </c>
      <c r="E44" s="154"/>
      <c r="F44" s="153">
        <f>F43*$B$34</f>
        <v>19.68</v>
      </c>
      <c r="G44" s="2"/>
      <c r="H44" s="149"/>
      <c r="I44" s="2"/>
      <c r="J44" s="2"/>
      <c r="K44" s="2"/>
      <c r="L44" s="2"/>
    </row>
    <row r="45" spans="1:14" customFormat="1" ht="19.5" customHeight="1" x14ac:dyDescent="0.35">
      <c r="A45" s="123" t="s">
        <v>74</v>
      </c>
      <c r="B45" s="155">
        <f>(B44/B43)*(B42/B41)*(B40/B39)*(B38/B37)*B36</f>
        <v>666.66666666666674</v>
      </c>
      <c r="C45" s="152" t="s">
        <v>75</v>
      </c>
      <c r="D45" s="156">
        <f>D44*$B$30/100</f>
        <v>19.987968000000002</v>
      </c>
      <c r="E45" s="157"/>
      <c r="F45" s="156">
        <f>F44*$B$30/100</f>
        <v>19.648512</v>
      </c>
      <c r="G45" s="2"/>
      <c r="H45" s="149"/>
      <c r="I45" s="2"/>
      <c r="J45" s="2"/>
      <c r="K45" s="2"/>
      <c r="L45" s="2"/>
    </row>
    <row r="46" spans="1:14" customFormat="1" ht="19.5" customHeight="1" x14ac:dyDescent="0.35">
      <c r="A46" s="500" t="s">
        <v>76</v>
      </c>
      <c r="B46" s="501"/>
      <c r="C46" s="152" t="s">
        <v>77</v>
      </c>
      <c r="D46" s="158">
        <f>D45/$B$45</f>
        <v>2.9981951999999999E-2</v>
      </c>
      <c r="E46" s="159"/>
      <c r="F46" s="160">
        <f>F45/$B$45</f>
        <v>2.9472767999999996E-2</v>
      </c>
      <c r="G46" s="2"/>
      <c r="H46" s="149"/>
      <c r="I46" s="2"/>
      <c r="J46" s="2"/>
      <c r="K46" s="2"/>
      <c r="L46" s="2"/>
    </row>
    <row r="47" spans="1:14" customFormat="1" ht="27" customHeight="1" x14ac:dyDescent="0.45">
      <c r="A47" s="502"/>
      <c r="B47" s="503"/>
      <c r="C47" s="161" t="s">
        <v>78</v>
      </c>
      <c r="D47" s="162">
        <v>0.03</v>
      </c>
      <c r="E47" s="163"/>
      <c r="F47" s="159"/>
      <c r="G47" s="2"/>
      <c r="H47" s="149"/>
      <c r="I47" s="2"/>
      <c r="J47" s="2"/>
      <c r="K47" s="2"/>
      <c r="L47" s="2"/>
    </row>
    <row r="48" spans="1:14" customFormat="1" ht="18" x14ac:dyDescent="0.35">
      <c r="A48" s="2"/>
      <c r="B48" s="2"/>
      <c r="C48" s="164" t="s">
        <v>79</v>
      </c>
      <c r="D48" s="156">
        <f>D47*$B$45</f>
        <v>20</v>
      </c>
      <c r="E48" s="2"/>
      <c r="F48" s="165"/>
      <c r="G48" s="2"/>
      <c r="H48" s="149"/>
      <c r="I48" s="2"/>
      <c r="J48" s="2"/>
      <c r="K48" s="2"/>
      <c r="L48" s="2"/>
    </row>
    <row r="49" spans="1:12" customFormat="1" ht="19.5" customHeight="1" x14ac:dyDescent="0.35">
      <c r="A49" s="2"/>
      <c r="B49" s="2"/>
      <c r="C49" s="166" t="s">
        <v>80</v>
      </c>
      <c r="D49" s="167">
        <f>D48/B34</f>
        <v>20</v>
      </c>
      <c r="E49" s="2"/>
      <c r="F49" s="165"/>
      <c r="G49" s="2"/>
      <c r="H49" s="149"/>
      <c r="I49" s="2"/>
      <c r="J49" s="2"/>
      <c r="K49" s="2"/>
      <c r="L49" s="2"/>
    </row>
    <row r="50" spans="1:12" customFormat="1" ht="18" x14ac:dyDescent="0.35">
      <c r="A50" s="2"/>
      <c r="B50" s="2"/>
      <c r="C50" s="121" t="s">
        <v>81</v>
      </c>
      <c r="D50" s="168">
        <f>AVERAGE(E38:E41,G38:G41)</f>
        <v>11933721.711297235</v>
      </c>
      <c r="E50" s="2"/>
      <c r="F50" s="169"/>
      <c r="G50" s="2"/>
      <c r="H50" s="149"/>
      <c r="I50" s="2"/>
      <c r="J50" s="2"/>
      <c r="K50" s="2"/>
      <c r="L50" s="2"/>
    </row>
    <row r="51" spans="1:12" customFormat="1" ht="18" x14ac:dyDescent="0.35">
      <c r="A51" s="2"/>
      <c r="B51" s="2"/>
      <c r="C51" s="123" t="s">
        <v>82</v>
      </c>
      <c r="D51" s="170">
        <f>STDEV(E38:E41,G38:G41)/D50</f>
        <v>4.0024154178127302E-3</v>
      </c>
      <c r="E51" s="2"/>
      <c r="F51" s="169"/>
      <c r="G51" s="2"/>
      <c r="H51" s="149"/>
      <c r="I51" s="2"/>
      <c r="J51" s="2"/>
      <c r="K51" s="2"/>
      <c r="L51" s="2"/>
    </row>
    <row r="52" spans="1:12" customFormat="1" ht="19.5" customHeight="1" x14ac:dyDescent="0.35">
      <c r="A52" s="2"/>
      <c r="B52" s="2"/>
      <c r="C52" s="171" t="s">
        <v>20</v>
      </c>
      <c r="D52" s="172">
        <f>COUNT(E38:E41,G38:G41)</f>
        <v>6</v>
      </c>
      <c r="E52" s="2"/>
      <c r="F52" s="169"/>
      <c r="G52" s="2"/>
      <c r="H52" s="2"/>
      <c r="I52" s="2"/>
      <c r="J52" s="2"/>
      <c r="K52" s="2"/>
      <c r="L52" s="2"/>
    </row>
    <row r="53" spans="1:12" customForma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customFormat="1" ht="18" x14ac:dyDescent="0.35">
      <c r="A54" s="173" t="s">
        <v>1</v>
      </c>
      <c r="B54" s="174" t="s">
        <v>83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customFormat="1" ht="18" x14ac:dyDescent="0.35">
      <c r="A55" s="99" t="s">
        <v>84</v>
      </c>
      <c r="B55" s="175" t="str">
        <f>B21</f>
        <v>Ibuprofen 400 mg Paracetamol 325 mg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customFormat="1" ht="26.25" customHeight="1" x14ac:dyDescent="0.45">
      <c r="A56" s="176" t="s">
        <v>132</v>
      </c>
      <c r="B56" s="177">
        <v>325</v>
      </c>
      <c r="C56" s="99" t="str">
        <f>B20</f>
        <v>Paracetamol</v>
      </c>
      <c r="D56" s="2"/>
      <c r="E56" s="2"/>
      <c r="F56" s="2"/>
      <c r="G56" s="2"/>
      <c r="H56" s="178"/>
      <c r="I56" s="2"/>
      <c r="J56" s="2"/>
      <c r="K56" s="2"/>
      <c r="L56" s="2"/>
    </row>
    <row r="57" spans="1:12" customFormat="1" ht="18" x14ac:dyDescent="0.35">
      <c r="A57" s="175" t="s">
        <v>131</v>
      </c>
      <c r="B57" s="179">
        <f>Uniformity!C46</f>
        <v>1047.0264999999999</v>
      </c>
      <c r="C57" s="2"/>
      <c r="D57" s="2"/>
      <c r="E57" s="2"/>
      <c r="F57" s="2"/>
      <c r="G57" s="2"/>
      <c r="H57" s="178"/>
      <c r="I57" s="2"/>
      <c r="J57" s="460"/>
      <c r="K57" s="2"/>
      <c r="L57" s="2"/>
    </row>
    <row r="58" spans="1:12" customFormat="1" ht="19.5" customHeight="1" x14ac:dyDescent="0.35">
      <c r="A58" s="2"/>
      <c r="B58" s="2"/>
      <c r="C58" s="2"/>
      <c r="D58" s="2"/>
      <c r="E58" s="2"/>
      <c r="F58" s="2"/>
      <c r="G58" s="2"/>
      <c r="H58" s="178"/>
      <c r="I58" s="2"/>
      <c r="J58" s="460"/>
      <c r="K58" s="2"/>
      <c r="L58" s="469"/>
    </row>
    <row r="59" spans="1:12" s="522" customFormat="1" ht="27" customHeight="1" x14ac:dyDescent="0.45">
      <c r="A59" s="121" t="s">
        <v>85</v>
      </c>
      <c r="B59" s="122">
        <v>200</v>
      </c>
      <c r="C59" s="99"/>
      <c r="D59" s="180" t="s">
        <v>86</v>
      </c>
      <c r="E59" s="181" t="s">
        <v>60</v>
      </c>
      <c r="F59" s="181" t="s">
        <v>61</v>
      </c>
      <c r="G59" s="181" t="s">
        <v>87</v>
      </c>
      <c r="H59" s="125" t="s">
        <v>88</v>
      </c>
      <c r="I59" s="14"/>
      <c r="J59" s="460"/>
      <c r="L59" s="523"/>
    </row>
    <row r="60" spans="1:12" s="522" customFormat="1" ht="26.25" customHeight="1" x14ac:dyDescent="0.45">
      <c r="A60" s="123" t="s">
        <v>89</v>
      </c>
      <c r="B60" s="124">
        <v>4</v>
      </c>
      <c r="C60" s="504" t="s">
        <v>90</v>
      </c>
      <c r="D60" s="507">
        <v>528.29</v>
      </c>
      <c r="E60" s="182">
        <v>1</v>
      </c>
      <c r="F60" s="183">
        <v>13184951</v>
      </c>
      <c r="G60" s="184">
        <f>IF(ISBLANK(F60),"-",(F60/$D$50*$D$47*$B$68)*($B$57/$D$60))</f>
        <v>328.45748019636142</v>
      </c>
      <c r="H60" s="185">
        <f t="shared" ref="H60:H71" si="0">IF(ISBLANK(F60),"-",G60/$B$56)</f>
        <v>1.0106384006041891</v>
      </c>
      <c r="I60" s="14"/>
      <c r="J60" s="460"/>
      <c r="L60" s="523"/>
    </row>
    <row r="61" spans="1:12" s="522" customFormat="1" ht="26.25" customHeight="1" x14ac:dyDescent="0.45">
      <c r="A61" s="123" t="s">
        <v>91</v>
      </c>
      <c r="B61" s="124">
        <v>100</v>
      </c>
      <c r="C61" s="505"/>
      <c r="D61" s="508"/>
      <c r="E61" s="186">
        <v>2</v>
      </c>
      <c r="F61" s="136">
        <v>13224570</v>
      </c>
      <c r="G61" s="187">
        <f>IF(ISBLANK(F61),"-",(F61/$D$50*$D$47*$B$68)*($B$57/$D$60))</f>
        <v>329.44445063773054</v>
      </c>
      <c r="H61" s="188">
        <f t="shared" si="0"/>
        <v>1.0136752327314786</v>
      </c>
      <c r="I61" s="14"/>
      <c r="J61" s="460"/>
      <c r="L61" s="523"/>
    </row>
    <row r="62" spans="1:12" s="522" customFormat="1" ht="26.25" customHeight="1" x14ac:dyDescent="0.45">
      <c r="A62" s="123" t="s">
        <v>92</v>
      </c>
      <c r="B62" s="124">
        <v>1</v>
      </c>
      <c r="C62" s="505"/>
      <c r="D62" s="508"/>
      <c r="E62" s="186">
        <v>3</v>
      </c>
      <c r="F62" s="189">
        <v>13331203</v>
      </c>
      <c r="G62" s="187">
        <f>IF(ISBLANK(F62),"-",(F62/$D$50*$D$47*$B$68)*($B$57/$D$60))</f>
        <v>332.10084325426573</v>
      </c>
      <c r="H62" s="188">
        <f t="shared" si="0"/>
        <v>1.0218487484746637</v>
      </c>
      <c r="I62" s="14"/>
      <c r="J62" s="460"/>
      <c r="L62" s="523"/>
    </row>
    <row r="63" spans="1:12" ht="27" customHeight="1" x14ac:dyDescent="0.45">
      <c r="A63" s="123" t="s">
        <v>93</v>
      </c>
      <c r="B63" s="124">
        <v>1</v>
      </c>
      <c r="C63" s="506"/>
      <c r="D63" s="509"/>
      <c r="E63" s="190">
        <v>4</v>
      </c>
      <c r="F63" s="191"/>
      <c r="G63" s="187" t="str">
        <f>IF(ISBLANK(F63),"-",(F63/$D$50*$D$47*$B$68)*($B$57/$D$60))</f>
        <v>-</v>
      </c>
      <c r="H63" s="188" t="str">
        <f t="shared" si="0"/>
        <v>-</v>
      </c>
      <c r="J63" s="460"/>
    </row>
    <row r="64" spans="1:12" ht="26.25" customHeight="1" x14ac:dyDescent="0.45">
      <c r="A64" s="123" t="s">
        <v>94</v>
      </c>
      <c r="B64" s="124">
        <v>1</v>
      </c>
      <c r="C64" s="504" t="s">
        <v>95</v>
      </c>
      <c r="D64" s="507">
        <v>523.73</v>
      </c>
      <c r="E64" s="182">
        <v>1</v>
      </c>
      <c r="F64" s="183">
        <v>13092696</v>
      </c>
      <c r="G64" s="192">
        <f>IF(ISBLANK(F64),"-",(F64/$D$50*$D$47*$B$68)*($B$57/$D$64))</f>
        <v>328.99906154728473</v>
      </c>
      <c r="H64" s="193">
        <f t="shared" si="0"/>
        <v>1.012304804760876</v>
      </c>
    </row>
    <row r="65" spans="1:15" ht="26.25" customHeight="1" x14ac:dyDescent="0.45">
      <c r="A65" s="123" t="s">
        <v>96</v>
      </c>
      <c r="B65" s="124">
        <v>1</v>
      </c>
      <c r="C65" s="505"/>
      <c r="D65" s="508"/>
      <c r="E65" s="186">
        <v>2</v>
      </c>
      <c r="F65" s="136">
        <v>13141949</v>
      </c>
      <c r="G65" s="194">
        <f>IF(ISBLANK(F65),"-",(F65/$D$50*$D$47*$B$68)*($B$57/$D$64))</f>
        <v>330.23671273680196</v>
      </c>
      <c r="H65" s="195">
        <f t="shared" si="0"/>
        <v>1.016112962267083</v>
      </c>
    </row>
    <row r="66" spans="1:15" ht="26.25" customHeight="1" x14ac:dyDescent="0.45">
      <c r="A66" s="123" t="s">
        <v>97</v>
      </c>
      <c r="B66" s="124">
        <v>1</v>
      </c>
      <c r="C66" s="505"/>
      <c r="D66" s="508"/>
      <c r="E66" s="186">
        <v>3</v>
      </c>
      <c r="F66" s="136">
        <v>13144724</v>
      </c>
      <c r="G66" s="194">
        <f>IF(ISBLANK(F66),"-",(F66/$D$50*$D$47*$B$68)*($B$57/$D$64))</f>
        <v>330.3064441653629</v>
      </c>
      <c r="H66" s="195">
        <f t="shared" si="0"/>
        <v>1.0163275205088089</v>
      </c>
    </row>
    <row r="67" spans="1:15" ht="27" customHeight="1" x14ac:dyDescent="0.45">
      <c r="A67" s="123" t="s">
        <v>98</v>
      </c>
      <c r="B67" s="124">
        <v>1</v>
      </c>
      <c r="C67" s="506"/>
      <c r="D67" s="509"/>
      <c r="E67" s="190">
        <v>4</v>
      </c>
      <c r="F67" s="191"/>
      <c r="G67" s="196" t="str">
        <f>IF(ISBLANK(F67),"-",(F67/$D$50*$D$47*$B$68)*($B$57/$D$64))</f>
        <v>-</v>
      </c>
      <c r="H67" s="197" t="str">
        <f t="shared" si="0"/>
        <v>-</v>
      </c>
    </row>
    <row r="68" spans="1:15" ht="26.25" customHeight="1" x14ac:dyDescent="0.5">
      <c r="A68" s="123" t="s">
        <v>99</v>
      </c>
      <c r="B68" s="198">
        <f>(B67/B66)*(B65/B64)*(B63/B62)*(B61/B60)*B59</f>
        <v>5000</v>
      </c>
      <c r="C68" s="504" t="s">
        <v>100</v>
      </c>
      <c r="D68" s="507">
        <v>520.53</v>
      </c>
      <c r="E68" s="182">
        <v>1</v>
      </c>
      <c r="F68" s="183">
        <v>12990123</v>
      </c>
      <c r="G68" s="192">
        <f>IF(ISBLANK(F68),"-",(F68/$D$50*$D$47*$B$68)*($B$57/$D$68))</f>
        <v>328.42826457103575</v>
      </c>
      <c r="H68" s="188">
        <f t="shared" si="0"/>
        <v>1.0105485063724178</v>
      </c>
    </row>
    <row r="69" spans="1:15" ht="27" customHeight="1" x14ac:dyDescent="0.5">
      <c r="A69" s="171" t="s">
        <v>101</v>
      </c>
      <c r="B69" s="199">
        <f>(D47*B68)/B56*B57</f>
        <v>483.24299999999999</v>
      </c>
      <c r="C69" s="505"/>
      <c r="D69" s="508"/>
      <c r="E69" s="186">
        <v>2</v>
      </c>
      <c r="F69" s="136">
        <v>12915752</v>
      </c>
      <c r="G69" s="194">
        <f>IF(ISBLANK(F69),"-",(F69/$D$50*$D$47*$B$68)*($B$57/$D$68))</f>
        <v>326.54794839047207</v>
      </c>
      <c r="H69" s="188">
        <f t="shared" si="0"/>
        <v>1.0047629181245294</v>
      </c>
    </row>
    <row r="70" spans="1:15" ht="26.25" customHeight="1" x14ac:dyDescent="0.45">
      <c r="A70" s="513" t="s">
        <v>76</v>
      </c>
      <c r="B70" s="514"/>
      <c r="C70" s="505"/>
      <c r="D70" s="508"/>
      <c r="E70" s="186">
        <v>3</v>
      </c>
      <c r="F70" s="136">
        <v>12920489</v>
      </c>
      <c r="G70" s="194">
        <f>IF(ISBLANK(F70),"-",(F70/$D$50*$D$47*$B$68)*($B$57/$D$68))</f>
        <v>326.66771359125374</v>
      </c>
      <c r="H70" s="188">
        <f t="shared" si="0"/>
        <v>1.0051314264346269</v>
      </c>
    </row>
    <row r="71" spans="1:15" ht="27" customHeight="1" x14ac:dyDescent="0.45">
      <c r="A71" s="515"/>
      <c r="B71" s="516"/>
      <c r="C71" s="512"/>
      <c r="D71" s="509"/>
      <c r="E71" s="190">
        <v>4</v>
      </c>
      <c r="F71" s="191"/>
      <c r="G71" s="196" t="str">
        <f>IF(ISBLANK(F71),"-",(F71/$D$50*$D$47*$B$68)*($B$57/$D$68))</f>
        <v>-</v>
      </c>
      <c r="H71" s="200" t="str">
        <f t="shared" si="0"/>
        <v>-</v>
      </c>
      <c r="O71" s="524"/>
    </row>
    <row r="72" spans="1:15" ht="26.25" customHeight="1" x14ac:dyDescent="0.45">
      <c r="A72" s="201"/>
      <c r="B72" s="201"/>
      <c r="C72" s="201"/>
      <c r="D72" s="201"/>
      <c r="E72" s="201"/>
      <c r="F72" s="202"/>
      <c r="G72" s="203" t="s">
        <v>69</v>
      </c>
      <c r="H72" s="204">
        <f>AVERAGE(H60:H71)</f>
        <v>1.0123722800309638</v>
      </c>
    </row>
    <row r="73" spans="1:15" ht="26.25" customHeight="1" x14ac:dyDescent="0.45">
      <c r="C73" s="201"/>
      <c r="D73" s="201"/>
      <c r="E73" s="201"/>
      <c r="F73" s="202"/>
      <c r="G73" s="205" t="s">
        <v>82</v>
      </c>
      <c r="H73" s="461">
        <f>STDEV(H60:H71)/H72</f>
        <v>5.3855148251387517E-3</v>
      </c>
    </row>
    <row r="74" spans="1:15" ht="27" customHeight="1" x14ac:dyDescent="0.45">
      <c r="A74" s="201"/>
      <c r="B74" s="201"/>
      <c r="C74" s="202"/>
      <c r="D74" s="202"/>
      <c r="E74" s="206"/>
      <c r="F74" s="202"/>
      <c r="G74" s="207" t="s">
        <v>20</v>
      </c>
      <c r="H74" s="208">
        <f>COUNT(H60:H71)</f>
        <v>9</v>
      </c>
    </row>
    <row r="76" spans="1:15" ht="26.25" customHeight="1" x14ac:dyDescent="0.45">
      <c r="A76" s="108" t="s">
        <v>102</v>
      </c>
      <c r="B76" s="209" t="s">
        <v>103</v>
      </c>
      <c r="C76" s="517" t="str">
        <f>B20</f>
        <v>Paracetamol</v>
      </c>
      <c r="D76" s="517"/>
      <c r="E76" s="210" t="s">
        <v>104</v>
      </c>
      <c r="F76" s="210"/>
      <c r="G76" s="211">
        <f>H72</f>
        <v>1.0123722800309638</v>
      </c>
      <c r="H76" s="212"/>
    </row>
    <row r="77" spans="1:15" ht="18" x14ac:dyDescent="0.35">
      <c r="A77" s="107" t="s">
        <v>105</v>
      </c>
      <c r="B77" s="107" t="s">
        <v>106</v>
      </c>
    </row>
    <row r="78" spans="1:15" ht="18" x14ac:dyDescent="0.35">
      <c r="A78" s="107"/>
      <c r="B78" s="107"/>
    </row>
    <row r="79" spans="1:15" ht="26.25" customHeight="1" x14ac:dyDescent="0.45">
      <c r="A79" s="108" t="s">
        <v>4</v>
      </c>
      <c r="B79" s="518" t="str">
        <f>B26</f>
        <v>Paracetamol</v>
      </c>
      <c r="C79" s="518"/>
    </row>
    <row r="80" spans="1:15" ht="26.25" customHeight="1" x14ac:dyDescent="0.45">
      <c r="A80" s="109" t="s">
        <v>46</v>
      </c>
      <c r="B80" s="518" t="str">
        <f>B27</f>
        <v>WRS/P1-3</v>
      </c>
      <c r="C80" s="518"/>
    </row>
    <row r="81" spans="1:12" ht="27" customHeight="1" x14ac:dyDescent="0.45">
      <c r="A81" s="109" t="s">
        <v>6</v>
      </c>
      <c r="B81" s="213">
        <f>B28</f>
        <v>99.84</v>
      </c>
      <c r="H81" s="460"/>
    </row>
    <row r="82" spans="1:12" s="522" customFormat="1" ht="27" customHeight="1" x14ac:dyDescent="0.5">
      <c r="A82" s="109" t="s">
        <v>47</v>
      </c>
      <c r="B82" s="111">
        <v>0</v>
      </c>
      <c r="C82" s="490" t="s">
        <v>48</v>
      </c>
      <c r="D82" s="491"/>
      <c r="E82" s="491"/>
      <c r="F82" s="491"/>
      <c r="G82" s="492"/>
      <c r="H82" s="460"/>
      <c r="I82" s="112"/>
      <c r="J82" s="112"/>
      <c r="K82" s="523"/>
      <c r="L82" s="523"/>
    </row>
    <row r="83" spans="1:12" s="522" customFormat="1" ht="19.5" customHeight="1" x14ac:dyDescent="0.35">
      <c r="A83" s="109" t="s">
        <v>49</v>
      </c>
      <c r="B83" s="113">
        <f>B81-B82</f>
        <v>99.84</v>
      </c>
      <c r="C83" s="114"/>
      <c r="D83" s="114"/>
      <c r="E83" s="114"/>
      <c r="F83" s="114"/>
      <c r="G83" s="115"/>
      <c r="H83" s="460"/>
      <c r="I83" s="112"/>
      <c r="J83" s="112"/>
      <c r="K83" s="523"/>
      <c r="L83" s="523"/>
    </row>
    <row r="84" spans="1:12" s="522" customFormat="1" ht="27" customHeight="1" x14ac:dyDescent="0.45">
      <c r="A84" s="109" t="s">
        <v>50</v>
      </c>
      <c r="B84" s="116">
        <v>1</v>
      </c>
      <c r="C84" s="493" t="s">
        <v>107</v>
      </c>
      <c r="D84" s="494"/>
      <c r="E84" s="494"/>
      <c r="F84" s="494"/>
      <c r="G84" s="494"/>
      <c r="H84" s="495"/>
      <c r="I84" s="112"/>
      <c r="J84" s="112"/>
      <c r="K84" s="523"/>
      <c r="L84" s="523"/>
    </row>
    <row r="85" spans="1:12" s="522" customFormat="1" ht="27" customHeight="1" x14ac:dyDescent="0.45">
      <c r="A85" s="109" t="s">
        <v>52</v>
      </c>
      <c r="B85" s="116">
        <v>1</v>
      </c>
      <c r="C85" s="493" t="s">
        <v>108</v>
      </c>
      <c r="D85" s="494"/>
      <c r="E85" s="494"/>
      <c r="F85" s="494"/>
      <c r="G85" s="494"/>
      <c r="H85" s="495"/>
      <c r="I85" s="112"/>
      <c r="J85" s="112"/>
      <c r="K85" s="523"/>
      <c r="L85" s="523"/>
    </row>
    <row r="86" spans="1:12" s="522" customFormat="1" ht="18" x14ac:dyDescent="0.35">
      <c r="A86" s="109"/>
      <c r="B86" s="118"/>
      <c r="C86" s="119"/>
      <c r="D86" s="119"/>
      <c r="E86" s="119"/>
      <c r="F86" s="119"/>
      <c r="G86" s="119"/>
      <c r="H86" s="119"/>
      <c r="I86" s="112"/>
      <c r="J86" s="112"/>
      <c r="K86" s="523"/>
      <c r="L86" s="523"/>
    </row>
    <row r="87" spans="1:12" s="522" customFormat="1" ht="18" x14ac:dyDescent="0.35">
      <c r="A87" s="109" t="s">
        <v>54</v>
      </c>
      <c r="B87" s="120">
        <f>B84/B85</f>
        <v>1</v>
      </c>
      <c r="C87" s="99" t="s">
        <v>55</v>
      </c>
      <c r="D87" s="99"/>
      <c r="E87" s="99"/>
      <c r="F87" s="99"/>
      <c r="G87" s="99"/>
      <c r="H87" s="291"/>
      <c r="I87" s="291"/>
      <c r="J87" s="112"/>
      <c r="K87" s="523"/>
      <c r="L87" s="523"/>
    </row>
    <row r="88" spans="1:12" ht="19.5" customHeight="1" x14ac:dyDescent="0.35">
      <c r="A88" s="107"/>
      <c r="B88" s="107"/>
    </row>
    <row r="89" spans="1:12" ht="27" customHeight="1" x14ac:dyDescent="0.45">
      <c r="A89" s="121" t="s">
        <v>56</v>
      </c>
      <c r="B89" s="122">
        <v>100</v>
      </c>
      <c r="D89" s="214" t="s">
        <v>57</v>
      </c>
      <c r="E89" s="215"/>
      <c r="F89" s="496" t="s">
        <v>58</v>
      </c>
      <c r="G89" s="498"/>
    </row>
    <row r="90" spans="1:12" ht="27" customHeight="1" x14ac:dyDescent="0.45">
      <c r="A90" s="123" t="s">
        <v>59</v>
      </c>
      <c r="B90" s="124">
        <v>4</v>
      </c>
      <c r="C90" s="216" t="s">
        <v>60</v>
      </c>
      <c r="D90" s="126" t="s">
        <v>61</v>
      </c>
      <c r="E90" s="127" t="s">
        <v>62</v>
      </c>
      <c r="F90" s="126" t="s">
        <v>61</v>
      </c>
      <c r="G90" s="217" t="s">
        <v>62</v>
      </c>
      <c r="I90" s="129" t="s">
        <v>63</v>
      </c>
    </row>
    <row r="91" spans="1:12" ht="26.25" customHeight="1" x14ac:dyDescent="0.45">
      <c r="A91" s="123" t="s">
        <v>64</v>
      </c>
      <c r="B91" s="124">
        <v>100</v>
      </c>
      <c r="C91" s="218">
        <v>1</v>
      </c>
      <c r="D91" s="528">
        <v>0.45729999999999998</v>
      </c>
      <c r="E91" s="132">
        <f>IF(ISBLANK(D91),"-",$D$101/$D$98*D91)</f>
        <v>0.53701542959355442</v>
      </c>
      <c r="F91" s="131">
        <v>0.50980000000000003</v>
      </c>
      <c r="G91" s="133">
        <f>IF(ISBLANK(F91),"-",$D$101/$F$98*F91)</f>
        <v>0.54845171800295245</v>
      </c>
      <c r="I91" s="134"/>
    </row>
    <row r="92" spans="1:12" ht="26.25" customHeight="1" x14ac:dyDescent="0.45">
      <c r="A92" s="123" t="s">
        <v>65</v>
      </c>
      <c r="B92" s="124">
        <v>1</v>
      </c>
      <c r="C92" s="202">
        <v>2</v>
      </c>
      <c r="D92" s="529">
        <v>0.46100000000000002</v>
      </c>
      <c r="E92" s="137">
        <f>IF(ISBLANK(D92),"-",$D$101/$D$98*D92)</f>
        <v>0.54136040464165458</v>
      </c>
      <c r="F92" s="136">
        <v>0.51419999999999999</v>
      </c>
      <c r="G92" s="138">
        <f>IF(ISBLANK(F92),"-",$D$101/$F$98*F92)</f>
        <v>0.55318531462753651</v>
      </c>
      <c r="I92" s="499">
        <f>ABS((F96/D96*D95)-F95)/D95</f>
        <v>2.2557414310477926E-2</v>
      </c>
    </row>
    <row r="93" spans="1:12" ht="26.25" customHeight="1" x14ac:dyDescent="0.45">
      <c r="A93" s="123" t="s">
        <v>66</v>
      </c>
      <c r="B93" s="124">
        <v>1</v>
      </c>
      <c r="C93" s="202">
        <v>3</v>
      </c>
      <c r="D93" s="529">
        <v>0.46100000000000002</v>
      </c>
      <c r="E93" s="137">
        <f>IF(ISBLANK(D93),"-",$D$101/$D$98*D93)</f>
        <v>0.54136040464165458</v>
      </c>
      <c r="F93" s="136">
        <v>0.51270000000000004</v>
      </c>
      <c r="G93" s="138">
        <f>IF(ISBLANK(F93),"-",$D$101/$F$98*F93)</f>
        <v>0.55157158850551924</v>
      </c>
      <c r="I93" s="499"/>
    </row>
    <row r="94" spans="1:12" ht="27" customHeight="1" x14ac:dyDescent="0.45">
      <c r="A94" s="123" t="s">
        <v>67</v>
      </c>
      <c r="B94" s="124">
        <v>1</v>
      </c>
      <c r="C94" s="219">
        <v>4</v>
      </c>
      <c r="D94" s="141"/>
      <c r="E94" s="142" t="str">
        <f>IF(ISBLANK(D94),"-",$D$101/$D$98*D94)</f>
        <v>-</v>
      </c>
      <c r="F94" s="220"/>
      <c r="G94" s="143" t="str">
        <f>IF(ISBLANK(F94),"-",$D$101/$F$98*F94)</f>
        <v>-</v>
      </c>
      <c r="I94" s="144"/>
    </row>
    <row r="95" spans="1:12" ht="27" customHeight="1" x14ac:dyDescent="0.45">
      <c r="A95" s="123" t="s">
        <v>68</v>
      </c>
      <c r="B95" s="124">
        <v>1</v>
      </c>
      <c r="C95" s="221" t="s">
        <v>69</v>
      </c>
      <c r="D95" s="222">
        <f>AVERAGE(D91:D94)</f>
        <v>0.45976666666666666</v>
      </c>
      <c r="E95" s="147">
        <f>AVERAGE(E91:E94)</f>
        <v>0.53991207962562127</v>
      </c>
      <c r="F95" s="223">
        <f>AVERAGE(F91:F94)</f>
        <v>0.51223333333333343</v>
      </c>
      <c r="G95" s="224">
        <f>AVERAGE(G91:G94)</f>
        <v>0.5510695403786694</v>
      </c>
    </row>
    <row r="96" spans="1:12" ht="26.25" customHeight="1" x14ac:dyDescent="0.45">
      <c r="A96" s="123" t="s">
        <v>70</v>
      </c>
      <c r="B96" s="110">
        <v>1</v>
      </c>
      <c r="C96" s="225" t="s">
        <v>109</v>
      </c>
      <c r="D96" s="226">
        <v>15.4</v>
      </c>
      <c r="E96" s="139"/>
      <c r="F96" s="151">
        <v>16.809999999999999</v>
      </c>
    </row>
    <row r="97" spans="1:10" ht="26.25" customHeight="1" x14ac:dyDescent="0.45">
      <c r="A97" s="123" t="s">
        <v>72</v>
      </c>
      <c r="B97" s="110">
        <v>1</v>
      </c>
      <c r="C97" s="227" t="s">
        <v>110</v>
      </c>
      <c r="D97" s="228">
        <f>D96*$B$87</f>
        <v>15.4</v>
      </c>
      <c r="E97" s="154"/>
      <c r="F97" s="153">
        <f>F96*$B$87</f>
        <v>16.809999999999999</v>
      </c>
    </row>
    <row r="98" spans="1:10" ht="19.5" customHeight="1" x14ac:dyDescent="0.35">
      <c r="A98" s="123" t="s">
        <v>74</v>
      </c>
      <c r="B98" s="229">
        <f>(B97/B96)*(B95/B94)*(B93/B92)*(B91/B90)*B89</f>
        <v>2500</v>
      </c>
      <c r="C98" s="227" t="s">
        <v>111</v>
      </c>
      <c r="D98" s="230">
        <f>D97*$B$83/100</f>
        <v>15.375360000000001</v>
      </c>
      <c r="E98" s="157"/>
      <c r="F98" s="156">
        <f>F97*$B$83/100</f>
        <v>16.783103999999998</v>
      </c>
    </row>
    <row r="99" spans="1:10" ht="19.5" customHeight="1" x14ac:dyDescent="0.35">
      <c r="A99" s="500" t="s">
        <v>76</v>
      </c>
      <c r="B99" s="510"/>
      <c r="C99" s="227" t="s">
        <v>112</v>
      </c>
      <c r="D99" s="231">
        <f>D98/$B$98</f>
        <v>6.1501440000000006E-3</v>
      </c>
      <c r="E99" s="157"/>
      <c r="F99" s="160">
        <f>F98/$B$98</f>
        <v>6.7132415999999993E-3</v>
      </c>
      <c r="G99" s="232"/>
      <c r="H99" s="149"/>
    </row>
    <row r="100" spans="1:10" ht="19.5" customHeight="1" x14ac:dyDescent="0.35">
      <c r="A100" s="502"/>
      <c r="B100" s="511"/>
      <c r="C100" s="227" t="s">
        <v>78</v>
      </c>
      <c r="D100" s="233">
        <f>$B$56/$B$116</f>
        <v>7.2222222222222219E-3</v>
      </c>
      <c r="F100" s="165"/>
      <c r="G100" s="234"/>
      <c r="H100" s="149"/>
    </row>
    <row r="101" spans="1:10" ht="18" x14ac:dyDescent="0.35">
      <c r="C101" s="227" t="s">
        <v>79</v>
      </c>
      <c r="D101" s="228">
        <f>D100*$B$98</f>
        <v>18.055555555555554</v>
      </c>
      <c r="F101" s="165"/>
      <c r="G101" s="232"/>
      <c r="H101" s="149"/>
    </row>
    <row r="102" spans="1:10" ht="19.5" customHeight="1" x14ac:dyDescent="0.35">
      <c r="C102" s="235" t="s">
        <v>80</v>
      </c>
      <c r="D102" s="236">
        <f>D101/B34</f>
        <v>18.055555555555554</v>
      </c>
      <c r="F102" s="169"/>
      <c r="G102" s="232"/>
      <c r="H102" s="149"/>
      <c r="J102" s="237"/>
    </row>
    <row r="103" spans="1:10" ht="18" x14ac:dyDescent="0.35">
      <c r="C103" s="238" t="s">
        <v>113</v>
      </c>
      <c r="D103" s="239">
        <f>AVERAGE(E91:E94,G91:G94)</f>
        <v>0.54549081000214528</v>
      </c>
      <c r="F103" s="169"/>
      <c r="G103" s="240"/>
      <c r="H103" s="149"/>
      <c r="J103" s="241"/>
    </row>
    <row r="104" spans="1:10" ht="18" x14ac:dyDescent="0.35">
      <c r="C104" s="205" t="s">
        <v>82</v>
      </c>
      <c r="D104" s="242">
        <f>STDEV(E91:E94,G91:G94)/D103</f>
        <v>1.1906022207596805E-2</v>
      </c>
      <c r="F104" s="169"/>
      <c r="G104" s="232"/>
      <c r="H104" s="149"/>
      <c r="J104" s="241"/>
    </row>
    <row r="105" spans="1:10" ht="19.5" customHeight="1" x14ac:dyDescent="0.35">
      <c r="C105" s="207" t="s">
        <v>20</v>
      </c>
      <c r="D105" s="243">
        <f>COUNT(E91:E94,G91:G94)</f>
        <v>6</v>
      </c>
      <c r="F105" s="169"/>
      <c r="G105" s="232"/>
      <c r="H105" s="149"/>
      <c r="J105" s="241"/>
    </row>
    <row r="106" spans="1:10" ht="19.5" customHeight="1" x14ac:dyDescent="0.35">
      <c r="A106" s="173"/>
      <c r="B106" s="173"/>
      <c r="C106" s="173"/>
      <c r="D106" s="173"/>
      <c r="E106" s="173"/>
    </row>
    <row r="107" spans="1:10" ht="26.25" customHeight="1" x14ac:dyDescent="0.45">
      <c r="A107" s="121" t="s">
        <v>114</v>
      </c>
      <c r="B107" s="122">
        <v>900</v>
      </c>
      <c r="C107" s="244" t="s">
        <v>133</v>
      </c>
      <c r="D107" s="245" t="s">
        <v>61</v>
      </c>
      <c r="E107" s="246" t="s">
        <v>115</v>
      </c>
      <c r="F107" s="247" t="s">
        <v>116</v>
      </c>
    </row>
    <row r="108" spans="1:10" ht="26.25" customHeight="1" x14ac:dyDescent="0.45">
      <c r="A108" s="123" t="s">
        <v>117</v>
      </c>
      <c r="B108" s="124">
        <v>1</v>
      </c>
      <c r="C108" s="248">
        <v>1</v>
      </c>
      <c r="D108" s="520">
        <v>0.5141</v>
      </c>
      <c r="E108" s="249">
        <f t="shared" ref="E108:E113" si="1">IF(ISBLANK(D108),"-",D108/$D$103*$D$100*$B$116)</f>
        <v>306.29755247268582</v>
      </c>
      <c r="F108" s="250">
        <f t="shared" ref="F108:F113" si="2">IF(ISBLANK(D108), "-", E108/$B$56)</f>
        <v>0.94245400760826403</v>
      </c>
    </row>
    <row r="109" spans="1:10" ht="26.25" customHeight="1" x14ac:dyDescent="0.45">
      <c r="A109" s="123" t="s">
        <v>91</v>
      </c>
      <c r="B109" s="124">
        <v>50</v>
      </c>
      <c r="C109" s="248">
        <v>2</v>
      </c>
      <c r="D109" s="520">
        <v>0.50690000000000002</v>
      </c>
      <c r="E109" s="251">
        <f t="shared" si="1"/>
        <v>302.00783767439111</v>
      </c>
      <c r="F109" s="252">
        <f t="shared" si="2"/>
        <v>0.92925488515197263</v>
      </c>
    </row>
    <row r="110" spans="1:10" ht="26.25" customHeight="1" x14ac:dyDescent="0.45">
      <c r="A110" s="123" t="s">
        <v>92</v>
      </c>
      <c r="B110" s="124">
        <v>1</v>
      </c>
      <c r="C110" s="248">
        <v>3</v>
      </c>
      <c r="D110" s="520">
        <v>0.49659999999999999</v>
      </c>
      <c r="E110" s="251">
        <f t="shared" si="1"/>
        <v>295.8711623379416</v>
      </c>
      <c r="F110" s="252">
        <f t="shared" si="2"/>
        <v>0.91037280719366642</v>
      </c>
    </row>
    <row r="111" spans="1:10" ht="26.25" customHeight="1" x14ac:dyDescent="0.45">
      <c r="A111" s="123" t="s">
        <v>93</v>
      </c>
      <c r="B111" s="124">
        <v>1</v>
      </c>
      <c r="C111" s="248">
        <v>4</v>
      </c>
      <c r="D111" s="520">
        <v>0.54</v>
      </c>
      <c r="E111" s="251">
        <f t="shared" si="1"/>
        <v>321.72860987210731</v>
      </c>
      <c r="F111" s="252">
        <f t="shared" si="2"/>
        <v>0.98993418422186863</v>
      </c>
    </row>
    <row r="112" spans="1:10" ht="26.25" customHeight="1" x14ac:dyDescent="0.45">
      <c r="A112" s="123" t="s">
        <v>94</v>
      </c>
      <c r="B112" s="124">
        <v>1</v>
      </c>
      <c r="C112" s="248">
        <v>5</v>
      </c>
      <c r="D112" s="520">
        <v>0.48870000000000002</v>
      </c>
      <c r="E112" s="251">
        <f t="shared" si="1"/>
        <v>291.16439193425714</v>
      </c>
      <c r="F112" s="252">
        <f t="shared" si="2"/>
        <v>0.89589043672079116</v>
      </c>
    </row>
    <row r="113" spans="1:10" ht="26.25" customHeight="1" x14ac:dyDescent="0.45">
      <c r="A113" s="123" t="s">
        <v>96</v>
      </c>
      <c r="B113" s="124">
        <v>1</v>
      </c>
      <c r="C113" s="253">
        <v>6</v>
      </c>
      <c r="D113" s="521">
        <v>0.55369999999999997</v>
      </c>
      <c r="E113" s="254">
        <f t="shared" si="1"/>
        <v>329.89098386330704</v>
      </c>
      <c r="F113" s="255">
        <f t="shared" si="2"/>
        <v>1.0150491811178679</v>
      </c>
    </row>
    <row r="114" spans="1:10" ht="26.25" customHeight="1" x14ac:dyDescent="0.45">
      <c r="A114" s="123" t="s">
        <v>97</v>
      </c>
      <c r="B114" s="124">
        <v>1</v>
      </c>
      <c r="C114" s="248"/>
      <c r="D114" s="339"/>
      <c r="E114" s="98"/>
      <c r="F114" s="256"/>
    </row>
    <row r="115" spans="1:10" ht="26.25" customHeight="1" x14ac:dyDescent="0.45">
      <c r="A115" s="123" t="s">
        <v>98</v>
      </c>
      <c r="B115" s="124">
        <v>1</v>
      </c>
      <c r="C115" s="248"/>
      <c r="D115" s="257"/>
      <c r="E115" s="258" t="s">
        <v>69</v>
      </c>
      <c r="F115" s="259">
        <f>AVERAGE(F108:F113)</f>
        <v>0.94715925033573845</v>
      </c>
    </row>
    <row r="116" spans="1:10" ht="27" customHeight="1" x14ac:dyDescent="0.45">
      <c r="A116" s="123" t="s">
        <v>99</v>
      </c>
      <c r="B116" s="155">
        <f>(B115/B114)*(B113/B112)*(B111/B110)*(B109/B108)*B107</f>
        <v>45000</v>
      </c>
      <c r="C116" s="260"/>
      <c r="D116" s="261"/>
      <c r="E116" s="221" t="s">
        <v>82</v>
      </c>
      <c r="F116" s="262">
        <f>STDEV(F108:F113)/F115</f>
        <v>4.898490072950757E-2</v>
      </c>
      <c r="I116" s="98"/>
    </row>
    <row r="117" spans="1:10" ht="27" customHeight="1" x14ac:dyDescent="0.45">
      <c r="A117" s="500" t="s">
        <v>76</v>
      </c>
      <c r="B117" s="501"/>
      <c r="C117" s="263"/>
      <c r="D117" s="264"/>
      <c r="E117" s="265" t="s">
        <v>20</v>
      </c>
      <c r="F117" s="266">
        <f>COUNT(F108:F113)</f>
        <v>6</v>
      </c>
      <c r="I117" s="98"/>
      <c r="J117" s="241"/>
    </row>
    <row r="118" spans="1:10" ht="19.5" customHeight="1" x14ac:dyDescent="0.35">
      <c r="A118" s="502"/>
      <c r="B118" s="503"/>
      <c r="C118" s="98"/>
      <c r="D118" s="98"/>
      <c r="E118" s="98"/>
      <c r="F118" s="202"/>
      <c r="G118" s="98"/>
      <c r="H118" s="98"/>
      <c r="I118" s="98"/>
    </row>
    <row r="119" spans="1:10" ht="18" x14ac:dyDescent="0.35">
      <c r="A119" s="275"/>
      <c r="B119" s="119"/>
      <c r="C119" s="98"/>
      <c r="D119" s="98"/>
      <c r="E119" s="98"/>
      <c r="F119" s="202"/>
      <c r="G119" s="98"/>
      <c r="H119" s="98"/>
      <c r="I119" s="98"/>
    </row>
    <row r="120" spans="1:10" ht="26.25" customHeight="1" x14ac:dyDescent="0.45">
      <c r="A120" s="108" t="s">
        <v>102</v>
      </c>
      <c r="B120" s="209" t="s">
        <v>118</v>
      </c>
      <c r="C120" s="517" t="str">
        <f>B20</f>
        <v>Paracetamol</v>
      </c>
      <c r="D120" s="517"/>
      <c r="E120" s="210" t="s">
        <v>119</v>
      </c>
      <c r="F120" s="210"/>
      <c r="G120" s="211">
        <f>F115</f>
        <v>0.94715925033573845</v>
      </c>
      <c r="H120" s="98"/>
      <c r="I120" s="98"/>
    </row>
    <row r="121" spans="1:10" ht="19.5" customHeight="1" x14ac:dyDescent="0.35">
      <c r="A121" s="267"/>
      <c r="B121" s="267"/>
      <c r="C121" s="268"/>
      <c r="D121" s="268"/>
      <c r="E121" s="268"/>
      <c r="F121" s="268"/>
      <c r="G121" s="268"/>
      <c r="H121" s="268"/>
    </row>
    <row r="122" spans="1:10" ht="18" x14ac:dyDescent="0.35">
      <c r="B122" s="519" t="s">
        <v>26</v>
      </c>
      <c r="C122" s="519"/>
      <c r="E122" s="216" t="s">
        <v>27</v>
      </c>
      <c r="F122" s="269"/>
      <c r="G122" s="519" t="s">
        <v>28</v>
      </c>
      <c r="H122" s="519"/>
    </row>
    <row r="123" spans="1:10" ht="54" customHeight="1" x14ac:dyDescent="0.35">
      <c r="A123" s="270" t="s">
        <v>29</v>
      </c>
      <c r="B123" s="271"/>
      <c r="C123" s="271"/>
      <c r="E123" s="271"/>
      <c r="F123" s="98"/>
      <c r="G123" s="272"/>
      <c r="H123" s="272"/>
    </row>
    <row r="124" spans="1:10" ht="56.25" customHeight="1" x14ac:dyDescent="0.35">
      <c r="A124" s="270" t="s">
        <v>30</v>
      </c>
      <c r="B124" s="273"/>
      <c r="C124" s="273"/>
      <c r="E124" s="273"/>
      <c r="F124" s="98"/>
      <c r="G124" s="274"/>
      <c r="H124" s="274"/>
    </row>
    <row r="125" spans="1:10" ht="18" x14ac:dyDescent="0.35">
      <c r="A125" s="201"/>
      <c r="B125" s="201"/>
      <c r="C125" s="202"/>
      <c r="D125" s="202"/>
      <c r="E125" s="202"/>
      <c r="F125" s="206"/>
      <c r="G125" s="202"/>
      <c r="H125" s="202"/>
      <c r="I125" s="98"/>
    </row>
    <row r="126" spans="1:10" ht="18" x14ac:dyDescent="0.35">
      <c r="A126" s="201"/>
      <c r="B126" s="201"/>
      <c r="C126" s="202"/>
      <c r="D126" s="202"/>
      <c r="E126" s="202"/>
      <c r="F126" s="206"/>
      <c r="G126" s="202"/>
      <c r="H126" s="202"/>
      <c r="I126" s="98"/>
    </row>
    <row r="127" spans="1:10" ht="18" x14ac:dyDescent="0.35">
      <c r="A127" s="201"/>
      <c r="B127" s="201"/>
      <c r="C127" s="202"/>
      <c r="D127" s="202"/>
      <c r="E127" s="202"/>
      <c r="F127" s="206"/>
      <c r="G127" s="202"/>
      <c r="H127" s="202"/>
      <c r="I127" s="98"/>
    </row>
    <row r="128" spans="1:10" ht="18" x14ac:dyDescent="0.35">
      <c r="A128" s="201"/>
      <c r="B128" s="201"/>
      <c r="C128" s="202"/>
      <c r="D128" s="202"/>
      <c r="E128" s="202"/>
      <c r="F128" s="206"/>
      <c r="G128" s="202"/>
      <c r="H128" s="202"/>
      <c r="I128" s="98"/>
    </row>
    <row r="129" spans="1:9" ht="18" x14ac:dyDescent="0.35">
      <c r="A129" s="201"/>
      <c r="B129" s="201"/>
      <c r="C129" s="202"/>
      <c r="D129" s="202"/>
      <c r="E129" s="202"/>
      <c r="F129" s="206"/>
      <c r="G129" s="202"/>
      <c r="H129" s="202"/>
      <c r="I129" s="98"/>
    </row>
    <row r="130" spans="1:9" ht="18" x14ac:dyDescent="0.35">
      <c r="A130" s="201"/>
      <c r="B130" s="201"/>
      <c r="C130" s="202"/>
      <c r="D130" s="202"/>
      <c r="E130" s="202"/>
      <c r="F130" s="206"/>
      <c r="G130" s="202"/>
      <c r="H130" s="202"/>
      <c r="I130" s="98"/>
    </row>
    <row r="131" spans="1:9" ht="18" x14ac:dyDescent="0.35">
      <c r="A131" s="201"/>
      <c r="B131" s="201"/>
      <c r="C131" s="202"/>
      <c r="D131" s="202"/>
      <c r="E131" s="202"/>
      <c r="F131" s="206"/>
      <c r="G131" s="202"/>
      <c r="H131" s="202"/>
      <c r="I131" s="98"/>
    </row>
    <row r="132" spans="1:9" ht="18" x14ac:dyDescent="0.35">
      <c r="A132" s="201"/>
      <c r="B132" s="201"/>
      <c r="C132" s="202"/>
      <c r="D132" s="202"/>
      <c r="E132" s="202"/>
      <c r="F132" s="206"/>
      <c r="G132" s="202"/>
      <c r="H132" s="202"/>
      <c r="I132" s="98"/>
    </row>
    <row r="133" spans="1:9" ht="18" x14ac:dyDescent="0.35">
      <c r="A133" s="201"/>
      <c r="B133" s="201"/>
      <c r="C133" s="202"/>
      <c r="D133" s="202"/>
      <c r="E133" s="202"/>
      <c r="F133" s="206"/>
      <c r="G133" s="202"/>
      <c r="H133" s="202"/>
      <c r="I133" s="98"/>
    </row>
    <row r="250" spans="1:1" x14ac:dyDescent="0.3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paperSize="9" scale="1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100" zoomScale="60" zoomScaleNormal="60" workbookViewId="0">
      <selection activeCell="H106" sqref="H106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524" customWidth="1"/>
    <col min="12" max="12" width="9.109375" style="524"/>
    <col min="13" max="16384" width="9.109375" style="525"/>
  </cols>
  <sheetData>
    <row r="1" spans="1:12" customForma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customForma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customForma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customForma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customForma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customForma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customForma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customForma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customForma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customForma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customForma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customForma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customForma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customFormat="1" ht="19.5" customHeight="1" x14ac:dyDescent="0.35">
      <c r="A15" s="277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customFormat="1" ht="19.5" customHeight="1" x14ac:dyDescent="0.35">
      <c r="A16" s="482" t="s">
        <v>31</v>
      </c>
      <c r="B16" s="483"/>
      <c r="C16" s="483"/>
      <c r="D16" s="483"/>
      <c r="E16" s="483"/>
      <c r="F16" s="483"/>
      <c r="G16" s="483"/>
      <c r="H16" s="484"/>
      <c r="I16" s="2"/>
      <c r="J16" s="2"/>
      <c r="K16" s="2"/>
      <c r="L16" s="2"/>
    </row>
    <row r="17" spans="1:14" customFormat="1" ht="20.25" customHeight="1" x14ac:dyDescent="0.3">
      <c r="A17" s="485" t="s">
        <v>45</v>
      </c>
      <c r="B17" s="485"/>
      <c r="C17" s="485"/>
      <c r="D17" s="485"/>
      <c r="E17" s="485"/>
      <c r="F17" s="485"/>
      <c r="G17" s="485"/>
      <c r="H17" s="485"/>
      <c r="I17" s="2"/>
      <c r="J17" s="2"/>
      <c r="K17" s="2"/>
      <c r="L17" s="2"/>
    </row>
    <row r="18" spans="1:14" customFormat="1" ht="26.25" customHeight="1" x14ac:dyDescent="0.5">
      <c r="A18" s="279" t="s">
        <v>33</v>
      </c>
      <c r="B18" s="481" t="s">
        <v>134</v>
      </c>
      <c r="C18" s="481"/>
      <c r="D18" s="458"/>
      <c r="E18" s="280"/>
      <c r="F18" s="281"/>
      <c r="G18" s="281"/>
      <c r="H18" s="281"/>
      <c r="I18" s="2"/>
      <c r="J18" s="2"/>
      <c r="K18" s="2"/>
      <c r="L18" s="2"/>
    </row>
    <row r="19" spans="1:14" customFormat="1" ht="26.25" customHeight="1" x14ac:dyDescent="0.5">
      <c r="A19" s="279" t="s">
        <v>34</v>
      </c>
      <c r="B19" s="282" t="s">
        <v>7</v>
      </c>
      <c r="C19" s="281">
        <v>1</v>
      </c>
      <c r="D19" s="281"/>
      <c r="E19" s="281"/>
      <c r="F19" s="281"/>
      <c r="G19" s="281"/>
      <c r="H19" s="281"/>
      <c r="I19" s="2"/>
      <c r="J19" s="2"/>
      <c r="K19" s="2"/>
      <c r="L19" s="2"/>
    </row>
    <row r="20" spans="1:14" customFormat="1" ht="26.25" customHeight="1" x14ac:dyDescent="0.5">
      <c r="A20" s="279" t="s">
        <v>35</v>
      </c>
      <c r="B20" s="486" t="s">
        <v>127</v>
      </c>
      <c r="C20" s="486"/>
      <c r="D20" s="281"/>
      <c r="E20" s="281"/>
      <c r="F20" s="281"/>
      <c r="G20" s="281"/>
      <c r="H20" s="281"/>
      <c r="I20" s="2"/>
      <c r="J20" s="2"/>
      <c r="K20" s="2"/>
      <c r="L20" s="2"/>
    </row>
    <row r="21" spans="1:14" customFormat="1" ht="26.25" customHeight="1" x14ac:dyDescent="0.5">
      <c r="A21" s="279" t="s">
        <v>36</v>
      </c>
      <c r="B21" s="486" t="s">
        <v>135</v>
      </c>
      <c r="C21" s="486"/>
      <c r="D21" s="486"/>
      <c r="E21" s="486"/>
      <c r="F21" s="486"/>
      <c r="G21" s="486"/>
      <c r="H21" s="486"/>
      <c r="I21" s="283"/>
      <c r="J21" s="2"/>
      <c r="K21" s="2"/>
      <c r="L21" s="2"/>
    </row>
    <row r="22" spans="1:14" customFormat="1" ht="26.25" customHeight="1" x14ac:dyDescent="0.5">
      <c r="A22" s="279" t="s">
        <v>37</v>
      </c>
      <c r="B22" s="284" t="s">
        <v>125</v>
      </c>
      <c r="C22" s="281"/>
      <c r="D22" s="281"/>
      <c r="E22" s="281"/>
      <c r="F22" s="281"/>
      <c r="G22" s="281"/>
      <c r="H22" s="281"/>
      <c r="I22" s="2"/>
      <c r="J22" s="2"/>
      <c r="K22" s="2"/>
      <c r="L22" s="2"/>
    </row>
    <row r="23" spans="1:14" customFormat="1" ht="26.25" customHeight="1" x14ac:dyDescent="0.5">
      <c r="A23" s="279" t="s">
        <v>38</v>
      </c>
      <c r="B23" s="284" t="s">
        <v>130</v>
      </c>
      <c r="C23" s="281"/>
      <c r="D23" s="281"/>
      <c r="E23" s="281"/>
      <c r="F23" s="281"/>
      <c r="G23" s="281"/>
      <c r="H23" s="281"/>
      <c r="I23" s="2"/>
      <c r="J23" s="2"/>
      <c r="K23" s="2"/>
      <c r="L23" s="2"/>
    </row>
    <row r="24" spans="1:14" customFormat="1" ht="18" x14ac:dyDescent="0.35">
      <c r="A24" s="279"/>
      <c r="B24" s="285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4" customFormat="1" ht="18" x14ac:dyDescent="0.35">
      <c r="A25" s="286" t="s">
        <v>1</v>
      </c>
      <c r="B25" s="285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4" customFormat="1" ht="26.25" customHeight="1" x14ac:dyDescent="0.45">
      <c r="A26" s="287" t="s">
        <v>4</v>
      </c>
      <c r="B26" s="480" t="s">
        <v>123</v>
      </c>
      <c r="C26" s="481"/>
      <c r="D26" s="2"/>
      <c r="E26" s="2"/>
      <c r="F26" s="2"/>
      <c r="G26" s="2"/>
      <c r="H26" s="2"/>
      <c r="I26" s="2"/>
      <c r="J26" s="2"/>
      <c r="K26" s="2"/>
      <c r="L26" s="2"/>
    </row>
    <row r="27" spans="1:14" customFormat="1" ht="26.25" customHeight="1" x14ac:dyDescent="0.5">
      <c r="A27" s="288" t="s">
        <v>46</v>
      </c>
      <c r="B27" s="488" t="s">
        <v>124</v>
      </c>
      <c r="C27" s="489"/>
      <c r="D27" s="2"/>
      <c r="E27" s="2"/>
      <c r="F27" s="2"/>
      <c r="G27" s="2"/>
      <c r="H27" s="2"/>
      <c r="I27" s="2"/>
      <c r="J27" s="2"/>
      <c r="K27" s="2"/>
      <c r="L27" s="2"/>
    </row>
    <row r="28" spans="1:14" customFormat="1" ht="27" customHeight="1" x14ac:dyDescent="0.45">
      <c r="A28" s="288" t="s">
        <v>6</v>
      </c>
      <c r="B28" s="289">
        <v>99.9</v>
      </c>
      <c r="C28" s="2"/>
      <c r="D28" s="2"/>
      <c r="E28" s="2"/>
      <c r="F28" s="2"/>
      <c r="G28" s="2"/>
      <c r="H28" s="460"/>
      <c r="I28" s="2"/>
      <c r="J28" s="2"/>
      <c r="K28" s="2"/>
      <c r="L28" s="2"/>
    </row>
    <row r="29" spans="1:14" s="14" customFormat="1" ht="27" customHeight="1" x14ac:dyDescent="0.5">
      <c r="A29" s="288" t="s">
        <v>47</v>
      </c>
      <c r="B29" s="290">
        <v>0</v>
      </c>
      <c r="C29" s="490" t="s">
        <v>48</v>
      </c>
      <c r="D29" s="491"/>
      <c r="E29" s="491"/>
      <c r="F29" s="491"/>
      <c r="G29" s="492"/>
      <c r="H29" s="460"/>
      <c r="I29" s="291"/>
      <c r="J29" s="291"/>
      <c r="K29" s="291"/>
      <c r="L29" s="291"/>
    </row>
    <row r="30" spans="1:14" s="14" customFormat="1" ht="19.5" customHeight="1" x14ac:dyDescent="0.35">
      <c r="A30" s="288" t="s">
        <v>49</v>
      </c>
      <c r="B30" s="292">
        <f>B28-B29</f>
        <v>99.9</v>
      </c>
      <c r="C30" s="293"/>
      <c r="D30" s="293"/>
      <c r="E30" s="293"/>
      <c r="F30" s="293"/>
      <c r="G30" s="294"/>
      <c r="H30" s="460"/>
      <c r="I30" s="291"/>
      <c r="J30" s="291"/>
      <c r="K30" s="291"/>
      <c r="L30" s="291"/>
    </row>
    <row r="31" spans="1:14" s="14" customFormat="1" ht="27" customHeight="1" x14ac:dyDescent="0.45">
      <c r="A31" s="288" t="s">
        <v>50</v>
      </c>
      <c r="B31" s="295">
        <v>1</v>
      </c>
      <c r="C31" s="493" t="s">
        <v>51</v>
      </c>
      <c r="D31" s="494"/>
      <c r="E31" s="494"/>
      <c r="F31" s="494"/>
      <c r="G31" s="494"/>
      <c r="H31" s="495"/>
      <c r="I31" s="291"/>
      <c r="J31" s="291"/>
      <c r="K31" s="291"/>
      <c r="L31" s="291"/>
    </row>
    <row r="32" spans="1:14" s="14" customFormat="1" ht="27" customHeight="1" x14ac:dyDescent="0.45">
      <c r="A32" s="288" t="s">
        <v>52</v>
      </c>
      <c r="B32" s="295">
        <v>1</v>
      </c>
      <c r="C32" s="493" t="s">
        <v>53</v>
      </c>
      <c r="D32" s="494"/>
      <c r="E32" s="494"/>
      <c r="F32" s="494"/>
      <c r="G32" s="494"/>
      <c r="H32" s="495"/>
      <c r="I32" s="291"/>
      <c r="J32" s="291"/>
      <c r="K32" s="291"/>
      <c r="L32" s="296"/>
      <c r="M32" s="296"/>
      <c r="N32" s="297"/>
    </row>
    <row r="33" spans="1:14" s="14" customFormat="1" ht="17.25" customHeight="1" x14ac:dyDescent="0.35">
      <c r="A33" s="288"/>
      <c r="B33" s="298"/>
      <c r="C33" s="299"/>
      <c r="D33" s="299"/>
      <c r="E33" s="299"/>
      <c r="F33" s="299"/>
      <c r="G33" s="299"/>
      <c r="H33" s="299"/>
      <c r="I33" s="291"/>
      <c r="J33" s="291"/>
      <c r="K33" s="291"/>
      <c r="L33" s="296"/>
      <c r="M33" s="296"/>
      <c r="N33" s="297"/>
    </row>
    <row r="34" spans="1:14" s="14" customFormat="1" ht="18" x14ac:dyDescent="0.35">
      <c r="A34" s="288" t="s">
        <v>54</v>
      </c>
      <c r="B34" s="300">
        <f>B31/B32</f>
        <v>1</v>
      </c>
      <c r="C34" s="278" t="s">
        <v>55</v>
      </c>
      <c r="D34" s="278"/>
      <c r="E34" s="278"/>
      <c r="F34" s="278"/>
      <c r="G34" s="278"/>
      <c r="H34" s="460"/>
      <c r="I34" s="291"/>
      <c r="J34" s="291"/>
      <c r="K34" s="291"/>
      <c r="L34" s="296"/>
      <c r="M34" s="296"/>
      <c r="N34" s="297"/>
    </row>
    <row r="35" spans="1:14" s="14" customFormat="1" ht="19.5" customHeight="1" x14ac:dyDescent="0.35">
      <c r="A35" s="288"/>
      <c r="B35" s="292"/>
      <c r="G35" s="278"/>
      <c r="H35" s="460"/>
      <c r="I35" s="291"/>
      <c r="J35" s="291"/>
      <c r="K35" s="291"/>
      <c r="L35" s="296"/>
      <c r="M35" s="296"/>
      <c r="N35" s="297"/>
    </row>
    <row r="36" spans="1:14" s="14" customFormat="1" ht="27" customHeight="1" x14ac:dyDescent="0.45">
      <c r="A36" s="301" t="s">
        <v>56</v>
      </c>
      <c r="B36" s="302">
        <v>20</v>
      </c>
      <c r="C36" s="278"/>
      <c r="D36" s="496" t="s">
        <v>57</v>
      </c>
      <c r="E36" s="497"/>
      <c r="F36" s="496" t="s">
        <v>58</v>
      </c>
      <c r="G36" s="498"/>
      <c r="H36" s="460"/>
      <c r="J36" s="291"/>
      <c r="K36" s="291"/>
      <c r="L36" s="296"/>
      <c r="M36" s="296"/>
      <c r="N36" s="297"/>
    </row>
    <row r="37" spans="1:14" s="14" customFormat="1" ht="27" customHeight="1" x14ac:dyDescent="0.45">
      <c r="A37" s="303" t="s">
        <v>59</v>
      </c>
      <c r="B37" s="304">
        <v>4</v>
      </c>
      <c r="C37" s="305" t="s">
        <v>60</v>
      </c>
      <c r="D37" s="306" t="s">
        <v>61</v>
      </c>
      <c r="E37" s="307" t="s">
        <v>62</v>
      </c>
      <c r="F37" s="306" t="s">
        <v>61</v>
      </c>
      <c r="G37" s="308" t="s">
        <v>62</v>
      </c>
      <c r="H37" s="460"/>
      <c r="I37" s="309" t="s">
        <v>63</v>
      </c>
      <c r="J37" s="291"/>
      <c r="K37" s="291"/>
      <c r="L37" s="296"/>
      <c r="M37" s="296"/>
      <c r="N37" s="297"/>
    </row>
    <row r="38" spans="1:14" s="14" customFormat="1" ht="26.25" customHeight="1" x14ac:dyDescent="0.45">
      <c r="A38" s="303" t="s">
        <v>64</v>
      </c>
      <c r="B38" s="304">
        <v>100</v>
      </c>
      <c r="C38" s="310">
        <v>1</v>
      </c>
      <c r="D38" s="311">
        <v>651110</v>
      </c>
      <c r="E38" s="312">
        <f>IF(ISBLANK(D38),"-",$D$48/$D$45*D38)</f>
        <v>636797.0315210179</v>
      </c>
      <c r="F38" s="311">
        <v>708714</v>
      </c>
      <c r="G38" s="313">
        <f>IF(ISBLANK(F38),"-",$D$48/$F$45*F38)</f>
        <v>633131.12309096241</v>
      </c>
      <c r="H38" s="460"/>
      <c r="I38" s="314"/>
      <c r="J38" s="291"/>
      <c r="K38" s="291"/>
      <c r="L38" s="296"/>
      <c r="M38" s="296"/>
      <c r="N38" s="297"/>
    </row>
    <row r="39" spans="1:14" s="14" customFormat="1" ht="26.25" customHeight="1" x14ac:dyDescent="0.45">
      <c r="A39" s="303" t="s">
        <v>65</v>
      </c>
      <c r="B39" s="304">
        <v>1</v>
      </c>
      <c r="C39" s="315">
        <v>2</v>
      </c>
      <c r="D39" s="316">
        <v>650246</v>
      </c>
      <c r="E39" s="317">
        <f>IF(ISBLANK(D39),"-",$D$48/$D$45*D39)</f>
        <v>635952.02432525344</v>
      </c>
      <c r="F39" s="316">
        <v>707741</v>
      </c>
      <c r="G39" s="318">
        <f>IF(ISBLANK(F39),"-",$D$48/$F$45*F39)</f>
        <v>632261.89152115071</v>
      </c>
      <c r="H39" s="460"/>
      <c r="I39" s="499">
        <f>ABS((F43/D43*D42)-F42)/D42</f>
        <v>4.429274580534783E-3</v>
      </c>
      <c r="J39" s="291"/>
      <c r="K39" s="291"/>
      <c r="L39" s="296"/>
      <c r="M39" s="296"/>
      <c r="N39" s="297"/>
    </row>
    <row r="40" spans="1:14" customFormat="1" ht="26.25" customHeight="1" x14ac:dyDescent="0.45">
      <c r="A40" s="303" t="s">
        <v>66</v>
      </c>
      <c r="B40" s="304">
        <v>1</v>
      </c>
      <c r="C40" s="315">
        <v>3</v>
      </c>
      <c r="D40" s="316">
        <v>646143</v>
      </c>
      <c r="E40" s="317">
        <f>IF(ISBLANK(D40),"-",$D$48/$D$45*D40)</f>
        <v>631939.21816296026</v>
      </c>
      <c r="F40" s="316">
        <v>706988</v>
      </c>
      <c r="G40" s="318">
        <f>IF(ISBLANK(F40),"-",$D$48/$F$45*F40)</f>
        <v>631589.1974080283</v>
      </c>
      <c r="H40" s="2"/>
      <c r="I40" s="499"/>
      <c r="J40" s="2"/>
      <c r="K40" s="2"/>
      <c r="L40" s="296"/>
      <c r="M40" s="296"/>
      <c r="N40" s="319"/>
    </row>
    <row r="41" spans="1:14" customFormat="1" ht="27" customHeight="1" x14ac:dyDescent="0.45">
      <c r="A41" s="303" t="s">
        <v>67</v>
      </c>
      <c r="B41" s="304">
        <v>1</v>
      </c>
      <c r="C41" s="320">
        <v>4</v>
      </c>
      <c r="D41" s="321"/>
      <c r="E41" s="322" t="str">
        <f>IF(ISBLANK(D41),"-",$D$48/$D$45*D41)</f>
        <v>-</v>
      </c>
      <c r="F41" s="321"/>
      <c r="G41" s="323" t="str">
        <f>IF(ISBLANK(F41),"-",$D$48/$F$45*F41)</f>
        <v>-</v>
      </c>
      <c r="H41" s="2"/>
      <c r="I41" s="324"/>
      <c r="J41" s="2"/>
      <c r="K41" s="2"/>
      <c r="L41" s="296"/>
      <c r="M41" s="296"/>
      <c r="N41" s="319"/>
    </row>
    <row r="42" spans="1:14" customFormat="1" ht="27" customHeight="1" x14ac:dyDescent="0.45">
      <c r="A42" s="303" t="s">
        <v>68</v>
      </c>
      <c r="B42" s="304">
        <v>1</v>
      </c>
      <c r="C42" s="325" t="s">
        <v>69</v>
      </c>
      <c r="D42" s="326">
        <f>AVERAGE(D38:D41)</f>
        <v>649166.33333333337</v>
      </c>
      <c r="E42" s="327">
        <f>AVERAGE(E38:E41)</f>
        <v>634896.09133641049</v>
      </c>
      <c r="F42" s="326">
        <f>AVERAGE(F38:F41)</f>
        <v>707814.33333333337</v>
      </c>
      <c r="G42" s="328">
        <f>AVERAGE(G38:G41)</f>
        <v>632327.40400671388</v>
      </c>
      <c r="H42" s="329"/>
      <c r="I42" s="2"/>
      <c r="J42" s="2"/>
      <c r="K42" s="2"/>
      <c r="L42" s="2"/>
    </row>
    <row r="43" spans="1:14" customFormat="1" ht="26.25" customHeight="1" x14ac:dyDescent="0.45">
      <c r="A43" s="303" t="s">
        <v>70</v>
      </c>
      <c r="B43" s="304">
        <v>1</v>
      </c>
      <c r="C43" s="330" t="s">
        <v>71</v>
      </c>
      <c r="D43" s="331">
        <v>20.47</v>
      </c>
      <c r="E43" s="319"/>
      <c r="F43" s="331">
        <v>22.41</v>
      </c>
      <c r="G43" s="2"/>
      <c r="H43" s="329"/>
      <c r="I43" s="2"/>
      <c r="J43" s="2"/>
      <c r="K43" s="2"/>
      <c r="L43" s="2"/>
    </row>
    <row r="44" spans="1:14" customFormat="1" ht="26.25" customHeight="1" x14ac:dyDescent="0.45">
      <c r="A44" s="303" t="s">
        <v>72</v>
      </c>
      <c r="B44" s="304">
        <v>1</v>
      </c>
      <c r="C44" s="332" t="s">
        <v>73</v>
      </c>
      <c r="D44" s="333">
        <f>D43*$B$34</f>
        <v>20.47</v>
      </c>
      <c r="E44" s="334"/>
      <c r="F44" s="333">
        <f>F43*$B$34</f>
        <v>22.41</v>
      </c>
      <c r="G44" s="2"/>
      <c r="H44" s="329"/>
      <c r="I44" s="2"/>
      <c r="J44" s="2"/>
      <c r="K44" s="2"/>
      <c r="L44" s="2"/>
    </row>
    <row r="45" spans="1:14" customFormat="1" ht="19.5" customHeight="1" x14ac:dyDescent="0.35">
      <c r="A45" s="303" t="s">
        <v>74</v>
      </c>
      <c r="B45" s="335">
        <f>(B44/B43)*(B42/B41)*(B40/B39)*(B38/B37)*B36</f>
        <v>500</v>
      </c>
      <c r="C45" s="332" t="s">
        <v>75</v>
      </c>
      <c r="D45" s="336">
        <f>D44*$B$30/100</f>
        <v>20.449529999999999</v>
      </c>
      <c r="E45" s="337"/>
      <c r="F45" s="336">
        <f>F44*$B$30/100</f>
        <v>22.387589999999999</v>
      </c>
      <c r="G45" s="2"/>
      <c r="H45" s="329"/>
      <c r="I45" s="2"/>
      <c r="J45" s="2"/>
      <c r="K45" s="2"/>
      <c r="L45" s="2"/>
    </row>
    <row r="46" spans="1:14" customFormat="1" ht="19.5" customHeight="1" x14ac:dyDescent="0.35">
      <c r="A46" s="500" t="s">
        <v>76</v>
      </c>
      <c r="B46" s="501"/>
      <c r="C46" s="332" t="s">
        <v>77</v>
      </c>
      <c r="D46" s="338">
        <f>D45/$B$45</f>
        <v>4.0899060000000001E-2</v>
      </c>
      <c r="E46" s="339"/>
      <c r="F46" s="340">
        <f>F45/$B$45</f>
        <v>4.4775179999999998E-2</v>
      </c>
      <c r="G46" s="2"/>
      <c r="H46" s="329"/>
      <c r="I46" s="2"/>
      <c r="J46" s="2"/>
      <c r="K46" s="2"/>
      <c r="L46" s="2"/>
    </row>
    <row r="47" spans="1:14" customFormat="1" ht="27" customHeight="1" x14ac:dyDescent="0.45">
      <c r="A47" s="502"/>
      <c r="B47" s="503"/>
      <c r="C47" s="341" t="s">
        <v>78</v>
      </c>
      <c r="D47" s="342">
        <v>0.04</v>
      </c>
      <c r="E47" s="343"/>
      <c r="F47" s="339"/>
      <c r="G47" s="2"/>
      <c r="H47" s="329"/>
      <c r="I47" s="2"/>
      <c r="J47" s="2"/>
      <c r="K47" s="2"/>
      <c r="L47" s="2"/>
    </row>
    <row r="48" spans="1:14" customFormat="1" ht="18" x14ac:dyDescent="0.35">
      <c r="A48" s="2"/>
      <c r="B48" s="2"/>
      <c r="C48" s="344" t="s">
        <v>79</v>
      </c>
      <c r="D48" s="336">
        <f>D47*$B$45</f>
        <v>20</v>
      </c>
      <c r="E48" s="2"/>
      <c r="F48" s="345"/>
      <c r="G48" s="2"/>
      <c r="H48" s="329"/>
      <c r="I48" s="2"/>
      <c r="J48" s="2"/>
      <c r="K48" s="2"/>
      <c r="L48" s="2"/>
    </row>
    <row r="49" spans="1:12" customFormat="1" ht="19.5" customHeight="1" x14ac:dyDescent="0.35">
      <c r="A49" s="2"/>
      <c r="B49" s="2"/>
      <c r="C49" s="346" t="s">
        <v>80</v>
      </c>
      <c r="D49" s="347">
        <f>D48/B34</f>
        <v>20</v>
      </c>
      <c r="E49" s="2"/>
      <c r="F49" s="345"/>
      <c r="G49" s="2"/>
      <c r="H49" s="329"/>
      <c r="I49" s="2"/>
      <c r="J49" s="2"/>
      <c r="K49" s="2"/>
      <c r="L49" s="2"/>
    </row>
    <row r="50" spans="1:12" customFormat="1" ht="18" x14ac:dyDescent="0.35">
      <c r="A50" s="2"/>
      <c r="B50" s="2"/>
      <c r="C50" s="301" t="s">
        <v>81</v>
      </c>
      <c r="D50" s="348">
        <f>AVERAGE(E38:E41,G38:G41)</f>
        <v>633611.74767156213</v>
      </c>
      <c r="E50" s="2"/>
      <c r="F50" s="349"/>
      <c r="G50" s="2"/>
      <c r="H50" s="329"/>
      <c r="I50" s="2"/>
      <c r="J50" s="2"/>
      <c r="K50" s="2"/>
      <c r="L50" s="2"/>
    </row>
    <row r="51" spans="1:12" customFormat="1" ht="18" x14ac:dyDescent="0.35">
      <c r="A51" s="2"/>
      <c r="B51" s="2"/>
      <c r="C51" s="303" t="s">
        <v>82</v>
      </c>
      <c r="D51" s="350">
        <f>STDEV(E38:E41,G38:G41)/D50</f>
        <v>3.4981807219936962E-3</v>
      </c>
      <c r="E51" s="2"/>
      <c r="F51" s="349"/>
      <c r="G51" s="2"/>
      <c r="H51" s="329"/>
      <c r="I51" s="2"/>
      <c r="J51" s="2"/>
      <c r="K51" s="2"/>
      <c r="L51" s="2"/>
    </row>
    <row r="52" spans="1:12" customFormat="1" ht="19.5" customHeight="1" x14ac:dyDescent="0.35">
      <c r="A52" s="2"/>
      <c r="B52" s="2"/>
      <c r="C52" s="351" t="s">
        <v>20</v>
      </c>
      <c r="D52" s="352">
        <f>COUNT(E38:E41,G38:G41)</f>
        <v>6</v>
      </c>
      <c r="E52" s="2"/>
      <c r="F52" s="349"/>
      <c r="G52" s="2"/>
      <c r="H52" s="2"/>
      <c r="I52" s="2"/>
      <c r="J52" s="2"/>
      <c r="K52" s="2"/>
      <c r="L52" s="2"/>
    </row>
    <row r="53" spans="1:12" customForma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customFormat="1" ht="18" x14ac:dyDescent="0.35">
      <c r="A54" s="353" t="s">
        <v>1</v>
      </c>
      <c r="B54" s="354" t="s">
        <v>83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customFormat="1" ht="18" x14ac:dyDescent="0.35">
      <c r="A55" s="278" t="s">
        <v>84</v>
      </c>
      <c r="B55" s="355" t="str">
        <f>B21</f>
        <v>Ibuprofen 400 mg and Paracetamol 325 mg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customFormat="1" ht="26.25" customHeight="1" x14ac:dyDescent="0.45">
      <c r="A56" s="356" t="s">
        <v>136</v>
      </c>
      <c r="B56" s="357">
        <v>400</v>
      </c>
      <c r="C56" s="278" t="str">
        <f>B20</f>
        <v xml:space="preserve">Ibuprofen </v>
      </c>
      <c r="D56" s="2"/>
      <c r="E56" s="2"/>
      <c r="F56" s="2"/>
      <c r="G56" s="2"/>
      <c r="H56" s="358"/>
      <c r="I56" s="2"/>
      <c r="J56" s="2"/>
      <c r="K56" s="2"/>
      <c r="L56" s="2"/>
    </row>
    <row r="57" spans="1:12" customFormat="1" ht="18" x14ac:dyDescent="0.35">
      <c r="A57" s="355" t="s">
        <v>131</v>
      </c>
      <c r="B57" s="359">
        <f>Uniformity!C46</f>
        <v>1047.0264999999999</v>
      </c>
      <c r="C57" s="2"/>
      <c r="D57" s="2"/>
      <c r="E57" s="2"/>
      <c r="F57" s="2"/>
      <c r="G57" s="2"/>
      <c r="H57" s="358"/>
      <c r="I57" s="2"/>
      <c r="J57" s="2"/>
      <c r="K57" s="2"/>
      <c r="L57" s="2"/>
    </row>
    <row r="58" spans="1:12" customFormat="1" ht="19.5" customHeight="1" x14ac:dyDescent="0.35">
      <c r="A58" s="2"/>
      <c r="B58" s="2"/>
      <c r="C58" s="2"/>
      <c r="D58" s="2"/>
      <c r="E58" s="2"/>
      <c r="F58" s="2"/>
      <c r="G58" s="2"/>
      <c r="H58" s="358"/>
      <c r="I58" s="2"/>
      <c r="J58" s="2"/>
      <c r="K58" s="2"/>
      <c r="L58" s="2"/>
    </row>
    <row r="59" spans="1:12" s="522" customFormat="1" ht="27" customHeight="1" x14ac:dyDescent="0.45">
      <c r="A59" s="301" t="s">
        <v>85</v>
      </c>
      <c r="B59" s="302">
        <v>200</v>
      </c>
      <c r="C59" s="278"/>
      <c r="D59" s="360" t="s">
        <v>86</v>
      </c>
      <c r="E59" s="361" t="s">
        <v>60</v>
      </c>
      <c r="F59" s="361" t="s">
        <v>61</v>
      </c>
      <c r="G59" s="361" t="s">
        <v>87</v>
      </c>
      <c r="H59" s="305" t="s">
        <v>88</v>
      </c>
      <c r="I59" s="14"/>
      <c r="J59" s="460"/>
      <c r="L59" s="523"/>
    </row>
    <row r="60" spans="1:12" s="522" customFormat="1" ht="26.25" customHeight="1" x14ac:dyDescent="0.45">
      <c r="A60" s="303" t="s">
        <v>89</v>
      </c>
      <c r="B60" s="304">
        <v>4</v>
      </c>
      <c r="C60" s="504" t="s">
        <v>90</v>
      </c>
      <c r="D60" s="507">
        <f>Paracetamol!D60</f>
        <v>528.29</v>
      </c>
      <c r="E60" s="362">
        <v>1</v>
      </c>
      <c r="F60" s="363">
        <v>625113</v>
      </c>
      <c r="G60" s="364">
        <f>IF(ISBLANK(F60),"-",(F60/$D$50*$D$47*$B$68)*($B$57/$D$60))</f>
        <v>391.0664772493148</v>
      </c>
      <c r="H60" s="365">
        <f t="shared" ref="H60:H71" si="0">IF(ISBLANK(F60),"-",G60/$B$56)</f>
        <v>0.97766619312328695</v>
      </c>
      <c r="I60" s="14"/>
      <c r="J60" s="460"/>
      <c r="L60" s="523"/>
    </row>
    <row r="61" spans="1:12" s="522" customFormat="1" ht="26.25" customHeight="1" x14ac:dyDescent="0.45">
      <c r="A61" s="303" t="s">
        <v>91</v>
      </c>
      <c r="B61" s="304">
        <v>100</v>
      </c>
      <c r="C61" s="505"/>
      <c r="D61" s="508"/>
      <c r="E61" s="366">
        <v>2</v>
      </c>
      <c r="F61" s="316">
        <v>625536</v>
      </c>
      <c r="G61" s="367">
        <f>IF(ISBLANK(F61),"-",(F61/$D$50*$D$47*$B$68)*($B$57/$D$60))</f>
        <v>391.3311031967458</v>
      </c>
      <c r="H61" s="368">
        <f t="shared" si="0"/>
        <v>0.97832775799186456</v>
      </c>
      <c r="I61" s="14"/>
      <c r="J61" s="460"/>
      <c r="L61" s="523"/>
    </row>
    <row r="62" spans="1:12" s="522" customFormat="1" ht="26.25" customHeight="1" x14ac:dyDescent="0.45">
      <c r="A62" s="303" t="s">
        <v>92</v>
      </c>
      <c r="B62" s="304">
        <v>1</v>
      </c>
      <c r="C62" s="505"/>
      <c r="D62" s="508"/>
      <c r="E62" s="366">
        <v>3</v>
      </c>
      <c r="F62" s="369">
        <v>628976</v>
      </c>
      <c r="G62" s="367">
        <f>IF(ISBLANK(F62),"-",(F62/$D$50*$D$47*$B$68)*($B$57/$D$60))</f>
        <v>393.48314399854917</v>
      </c>
      <c r="H62" s="368">
        <f t="shared" si="0"/>
        <v>0.98370785999637289</v>
      </c>
      <c r="I62" s="14"/>
      <c r="J62" s="460"/>
      <c r="L62" s="523"/>
    </row>
    <row r="63" spans="1:12" ht="27" customHeight="1" x14ac:dyDescent="0.45">
      <c r="A63" s="303" t="s">
        <v>93</v>
      </c>
      <c r="B63" s="304">
        <v>1</v>
      </c>
      <c r="C63" s="506"/>
      <c r="D63" s="509"/>
      <c r="E63" s="370">
        <v>4</v>
      </c>
      <c r="F63" s="371"/>
      <c r="G63" s="367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5">
      <c r="A64" s="303" t="s">
        <v>94</v>
      </c>
      <c r="B64" s="304">
        <v>1</v>
      </c>
      <c r="C64" s="504" t="s">
        <v>95</v>
      </c>
      <c r="D64" s="507">
        <f>Paracetamol!D64</f>
        <v>523.73</v>
      </c>
      <c r="E64" s="362">
        <v>1</v>
      </c>
      <c r="F64" s="363">
        <v>627216</v>
      </c>
      <c r="G64" s="372">
        <f>IF(ISBLANK(F64),"-",(F64/$D$50*$D$47*$B$68)*($B$57/$D$64))</f>
        <v>395.79848307132596</v>
      </c>
      <c r="H64" s="373">
        <f t="shared" si="0"/>
        <v>0.98949620767831492</v>
      </c>
    </row>
    <row r="65" spans="1:8" ht="26.25" customHeight="1" x14ac:dyDescent="0.45">
      <c r="A65" s="303" t="s">
        <v>96</v>
      </c>
      <c r="B65" s="304">
        <v>1</v>
      </c>
      <c r="C65" s="505"/>
      <c r="D65" s="508"/>
      <c r="E65" s="366">
        <v>2</v>
      </c>
      <c r="F65" s="316">
        <v>625605</v>
      </c>
      <c r="G65" s="374">
        <f>IF(ISBLANK(F65),"-",(F65/$D$50*$D$47*$B$68)*($B$57/$D$64))</f>
        <v>394.78187737850573</v>
      </c>
      <c r="H65" s="375">
        <f t="shared" si="0"/>
        <v>0.9869546934462643</v>
      </c>
    </row>
    <row r="66" spans="1:8" ht="26.25" customHeight="1" x14ac:dyDescent="0.45">
      <c r="A66" s="303" t="s">
        <v>97</v>
      </c>
      <c r="B66" s="304">
        <v>1</v>
      </c>
      <c r="C66" s="505"/>
      <c r="D66" s="508"/>
      <c r="E66" s="366">
        <v>3</v>
      </c>
      <c r="F66" s="316">
        <v>622790</v>
      </c>
      <c r="G66" s="374">
        <f>IF(ISBLANK(F66),"-",(F66/$D$50*$D$47*$B$68)*($B$57/$D$64))</f>
        <v>393.00549933673739</v>
      </c>
      <c r="H66" s="375">
        <f t="shared" si="0"/>
        <v>0.98251374834184346</v>
      </c>
    </row>
    <row r="67" spans="1:8" ht="27" customHeight="1" x14ac:dyDescent="0.45">
      <c r="A67" s="303" t="s">
        <v>98</v>
      </c>
      <c r="B67" s="304">
        <v>1</v>
      </c>
      <c r="C67" s="506"/>
      <c r="D67" s="509"/>
      <c r="E67" s="370">
        <v>4</v>
      </c>
      <c r="F67" s="371"/>
      <c r="G67" s="376" t="str">
        <f>IF(ISBLANK(F67),"-",(F67/$D$50*$D$47*$B$68)*($B$57/$D$64))</f>
        <v>-</v>
      </c>
      <c r="H67" s="377" t="str">
        <f t="shared" si="0"/>
        <v>-</v>
      </c>
    </row>
    <row r="68" spans="1:8" ht="26.25" customHeight="1" x14ac:dyDescent="0.5">
      <c r="A68" s="303" t="s">
        <v>99</v>
      </c>
      <c r="B68" s="378">
        <f>(B67/B66)*(B65/B64)*(B63/B62)*(B61/B60)*B59</f>
        <v>5000</v>
      </c>
      <c r="C68" s="504" t="s">
        <v>100</v>
      </c>
      <c r="D68" s="507">
        <f>Paracetamol!D68</f>
        <v>520.53</v>
      </c>
      <c r="E68" s="362">
        <v>1</v>
      </c>
      <c r="F68" s="363">
        <v>618523</v>
      </c>
      <c r="G68" s="372">
        <f>IF(ISBLANK(F68),"-",(F68/$D$50*$D$47*$B$68)*($B$57/$D$68))</f>
        <v>392.71233060049281</v>
      </c>
      <c r="H68" s="368">
        <f t="shared" si="0"/>
        <v>0.981780826501232</v>
      </c>
    </row>
    <row r="69" spans="1:8" ht="27" customHeight="1" x14ac:dyDescent="0.5">
      <c r="A69" s="351" t="s">
        <v>101</v>
      </c>
      <c r="B69" s="379">
        <f>(D47*B68)/B56*B57</f>
        <v>523.51324999999997</v>
      </c>
      <c r="C69" s="505"/>
      <c r="D69" s="508"/>
      <c r="E69" s="366">
        <v>2</v>
      </c>
      <c r="F69" s="316">
        <v>616367</v>
      </c>
      <c r="G69" s="374">
        <f>IF(ISBLANK(F69),"-",(F69/$D$50*$D$47*$B$68)*($B$57/$D$68))</f>
        <v>391.34344410027433</v>
      </c>
      <c r="H69" s="368">
        <f t="shared" si="0"/>
        <v>0.97835861025068582</v>
      </c>
    </row>
    <row r="70" spans="1:8" ht="26.25" customHeight="1" x14ac:dyDescent="0.45">
      <c r="A70" s="513" t="s">
        <v>76</v>
      </c>
      <c r="B70" s="514"/>
      <c r="C70" s="505"/>
      <c r="D70" s="508"/>
      <c r="E70" s="366">
        <v>3</v>
      </c>
      <c r="F70" s="316">
        <v>617479</v>
      </c>
      <c r="G70" s="374">
        <f>IF(ISBLANK(F70),"-",(F70/$D$50*$D$47*$B$68)*($B$57/$D$68))</f>
        <v>392.04947461430163</v>
      </c>
      <c r="H70" s="368">
        <f t="shared" si="0"/>
        <v>0.9801236865357541</v>
      </c>
    </row>
    <row r="71" spans="1:8" ht="27" customHeight="1" x14ac:dyDescent="0.45">
      <c r="A71" s="515"/>
      <c r="B71" s="516"/>
      <c r="C71" s="512"/>
      <c r="D71" s="509"/>
      <c r="E71" s="370">
        <v>4</v>
      </c>
      <c r="F71" s="371"/>
      <c r="G71" s="376" t="str">
        <f>IF(ISBLANK(F71),"-",(F71/$D$50*$D$47*$B$68)*($B$57/$D$68))</f>
        <v>-</v>
      </c>
      <c r="H71" s="380" t="str">
        <f t="shared" si="0"/>
        <v>-</v>
      </c>
    </row>
    <row r="72" spans="1:8" ht="26.25" customHeight="1" x14ac:dyDescent="0.45">
      <c r="A72" s="381"/>
      <c r="B72" s="381"/>
      <c r="C72" s="381"/>
      <c r="D72" s="381"/>
      <c r="E72" s="381"/>
      <c r="F72" s="382"/>
      <c r="G72" s="383" t="s">
        <v>69</v>
      </c>
      <c r="H72" s="384">
        <f>AVERAGE(H60:H71)</f>
        <v>0.98210328709617967</v>
      </c>
    </row>
    <row r="73" spans="1:8" ht="26.25" customHeight="1" x14ac:dyDescent="0.45">
      <c r="C73" s="381"/>
      <c r="D73" s="381"/>
      <c r="E73" s="381"/>
      <c r="F73" s="382"/>
      <c r="G73" s="385" t="s">
        <v>82</v>
      </c>
      <c r="H73" s="461">
        <f>STDEV(H60:H71)/H72</f>
        <v>4.1504663067077844E-3</v>
      </c>
    </row>
    <row r="74" spans="1:8" ht="27" customHeight="1" x14ac:dyDescent="0.45">
      <c r="A74" s="381"/>
      <c r="B74" s="381"/>
      <c r="C74" s="382"/>
      <c r="D74" s="382"/>
      <c r="E74" s="386"/>
      <c r="F74" s="382"/>
      <c r="G74" s="387" t="s">
        <v>20</v>
      </c>
      <c r="H74" s="388">
        <f>COUNT(H60:H71)</f>
        <v>9</v>
      </c>
    </row>
    <row r="76" spans="1:8" ht="26.25" customHeight="1" x14ac:dyDescent="0.45">
      <c r="A76" s="287" t="s">
        <v>102</v>
      </c>
      <c r="B76" s="389" t="s">
        <v>103</v>
      </c>
      <c r="C76" s="517" t="str">
        <f>B20</f>
        <v xml:space="preserve">Ibuprofen </v>
      </c>
      <c r="D76" s="517"/>
      <c r="E76" s="390" t="s">
        <v>104</v>
      </c>
      <c r="F76" s="390"/>
      <c r="G76" s="391">
        <f>H72</f>
        <v>0.98210328709617967</v>
      </c>
      <c r="H76" s="392"/>
    </row>
    <row r="77" spans="1:8" ht="18" x14ac:dyDescent="0.35">
      <c r="A77" s="286" t="s">
        <v>105</v>
      </c>
      <c r="B77" s="286" t="s">
        <v>106</v>
      </c>
    </row>
    <row r="78" spans="1:8" ht="18" x14ac:dyDescent="0.35">
      <c r="A78" s="286"/>
      <c r="B78" s="286"/>
    </row>
    <row r="79" spans="1:8" ht="26.25" customHeight="1" x14ac:dyDescent="0.45">
      <c r="A79" s="287" t="s">
        <v>4</v>
      </c>
      <c r="B79" s="518" t="str">
        <f>B26</f>
        <v xml:space="preserve">IBUPROFEN </v>
      </c>
      <c r="C79" s="518"/>
    </row>
    <row r="80" spans="1:8" ht="26.25" customHeight="1" x14ac:dyDescent="0.45">
      <c r="A80" s="288" t="s">
        <v>46</v>
      </c>
      <c r="B80" s="518" t="str">
        <f>B27</f>
        <v>WRS/I1-3</v>
      </c>
      <c r="C80" s="518"/>
    </row>
    <row r="81" spans="1:12" ht="27" customHeight="1" x14ac:dyDescent="0.45">
      <c r="A81" s="288" t="s">
        <v>6</v>
      </c>
      <c r="B81" s="393">
        <f>B28</f>
        <v>99.9</v>
      </c>
      <c r="H81" s="460"/>
    </row>
    <row r="82" spans="1:12" s="522" customFormat="1" ht="27" customHeight="1" x14ac:dyDescent="0.5">
      <c r="A82" s="288" t="s">
        <v>47</v>
      </c>
      <c r="B82" s="290">
        <v>0</v>
      </c>
      <c r="C82" s="490" t="s">
        <v>48</v>
      </c>
      <c r="D82" s="491"/>
      <c r="E82" s="491"/>
      <c r="F82" s="491"/>
      <c r="G82" s="492"/>
      <c r="H82" s="460"/>
      <c r="I82" s="291"/>
      <c r="J82" s="291"/>
      <c r="K82" s="523"/>
      <c r="L82" s="523"/>
    </row>
    <row r="83" spans="1:12" s="522" customFormat="1" ht="19.5" customHeight="1" x14ac:dyDescent="0.35">
      <c r="A83" s="288" t="s">
        <v>49</v>
      </c>
      <c r="B83" s="292">
        <f>B81-B82</f>
        <v>99.9</v>
      </c>
      <c r="C83" s="293"/>
      <c r="D83" s="293"/>
      <c r="E83" s="293"/>
      <c r="F83" s="293"/>
      <c r="G83" s="294"/>
      <c r="H83" s="460"/>
      <c r="I83" s="291"/>
      <c r="J83" s="291"/>
      <c r="K83" s="523"/>
      <c r="L83" s="523"/>
    </row>
    <row r="84" spans="1:12" s="522" customFormat="1" ht="27" customHeight="1" x14ac:dyDescent="0.45">
      <c r="A84" s="288" t="s">
        <v>50</v>
      </c>
      <c r="B84" s="295">
        <v>1</v>
      </c>
      <c r="C84" s="493" t="s">
        <v>107</v>
      </c>
      <c r="D84" s="494"/>
      <c r="E84" s="494"/>
      <c r="F84" s="494"/>
      <c r="G84" s="494"/>
      <c r="H84" s="495"/>
      <c r="I84" s="291"/>
      <c r="J84" s="291"/>
      <c r="K84" s="523"/>
      <c r="L84" s="523"/>
    </row>
    <row r="85" spans="1:12" s="522" customFormat="1" ht="27" customHeight="1" x14ac:dyDescent="0.45">
      <c r="A85" s="288" t="s">
        <v>52</v>
      </c>
      <c r="B85" s="295">
        <v>1</v>
      </c>
      <c r="C85" s="493" t="s">
        <v>108</v>
      </c>
      <c r="D85" s="494"/>
      <c r="E85" s="494"/>
      <c r="F85" s="494"/>
      <c r="G85" s="494"/>
      <c r="H85" s="495"/>
      <c r="I85" s="291"/>
      <c r="J85" s="291"/>
      <c r="K85" s="523"/>
      <c r="L85" s="523"/>
    </row>
    <row r="86" spans="1:12" s="522" customFormat="1" ht="18" x14ac:dyDescent="0.35">
      <c r="A86" s="288"/>
      <c r="B86" s="298"/>
      <c r="C86" s="299"/>
      <c r="D86" s="299"/>
      <c r="E86" s="299"/>
      <c r="F86" s="299"/>
      <c r="G86" s="299"/>
      <c r="H86" s="299"/>
      <c r="I86" s="291"/>
      <c r="J86" s="291"/>
      <c r="K86" s="523"/>
      <c r="L86" s="523"/>
    </row>
    <row r="87" spans="1:12" s="522" customFormat="1" ht="18" x14ac:dyDescent="0.35">
      <c r="A87" s="288" t="s">
        <v>54</v>
      </c>
      <c r="B87" s="300">
        <f>B84/B85</f>
        <v>1</v>
      </c>
      <c r="C87" s="278" t="s">
        <v>55</v>
      </c>
      <c r="D87" s="278"/>
      <c r="E87" s="278"/>
      <c r="F87" s="278"/>
      <c r="G87" s="278"/>
      <c r="H87" s="291"/>
      <c r="I87" s="291"/>
      <c r="J87" s="291"/>
      <c r="K87" s="523"/>
      <c r="L87" s="523"/>
    </row>
    <row r="88" spans="1:12" ht="19.5" customHeight="1" x14ac:dyDescent="0.35">
      <c r="A88" s="286"/>
      <c r="B88" s="286"/>
    </row>
    <row r="89" spans="1:12" ht="27" customHeight="1" x14ac:dyDescent="0.45">
      <c r="A89" s="301" t="s">
        <v>56</v>
      </c>
      <c r="B89" s="302">
        <v>100</v>
      </c>
      <c r="D89" s="394" t="s">
        <v>57</v>
      </c>
      <c r="E89" s="395"/>
      <c r="F89" s="496" t="s">
        <v>58</v>
      </c>
      <c r="G89" s="498"/>
    </row>
    <row r="90" spans="1:12" ht="27" customHeight="1" x14ac:dyDescent="0.45">
      <c r="A90" s="303" t="s">
        <v>59</v>
      </c>
      <c r="B90" s="304">
        <v>1</v>
      </c>
      <c r="C90" s="396" t="s">
        <v>60</v>
      </c>
      <c r="D90" s="306" t="s">
        <v>61</v>
      </c>
      <c r="E90" s="307" t="s">
        <v>62</v>
      </c>
      <c r="F90" s="306" t="s">
        <v>61</v>
      </c>
      <c r="G90" s="397" t="s">
        <v>62</v>
      </c>
      <c r="I90" s="309" t="s">
        <v>63</v>
      </c>
    </row>
    <row r="91" spans="1:12" ht="26.25" customHeight="1" x14ac:dyDescent="0.45">
      <c r="A91" s="303" t="s">
        <v>64</v>
      </c>
      <c r="B91" s="304">
        <v>25</v>
      </c>
      <c r="C91" s="398">
        <v>1</v>
      </c>
      <c r="D91" s="311">
        <v>158021</v>
      </c>
      <c r="E91" s="312">
        <f>IF(ISBLANK(D91),"-",$D$101/$D$98*D91)</f>
        <v>153430.50504794525</v>
      </c>
      <c r="F91" s="311">
        <v>166402</v>
      </c>
      <c r="G91" s="313">
        <f>IF(ISBLANK(F91),"-",$D$101/$F$98*F91)</f>
        <v>153272.20480199545</v>
      </c>
      <c r="I91" s="314"/>
    </row>
    <row r="92" spans="1:12" ht="26.25" customHeight="1" x14ac:dyDescent="0.45">
      <c r="A92" s="303" t="s">
        <v>65</v>
      </c>
      <c r="B92" s="304">
        <v>1</v>
      </c>
      <c r="C92" s="382">
        <v>2</v>
      </c>
      <c r="D92" s="316">
        <v>159082</v>
      </c>
      <c r="E92" s="317">
        <f>IF(ISBLANK(D92),"-",$D$101/$D$98*D92)</f>
        <v>154460.68309931734</v>
      </c>
      <c r="F92" s="316">
        <v>158965</v>
      </c>
      <c r="G92" s="318">
        <f>IF(ISBLANK(F92),"-",$D$101/$F$98*F92)</f>
        <v>146422.0143769258</v>
      </c>
      <c r="I92" s="499">
        <f>ABS((F96/D96*D95)-F95)/D95</f>
        <v>2.2976814656267885E-2</v>
      </c>
    </row>
    <row r="93" spans="1:12" ht="26.25" customHeight="1" x14ac:dyDescent="0.45">
      <c r="A93" s="303" t="s">
        <v>66</v>
      </c>
      <c r="B93" s="304">
        <v>1</v>
      </c>
      <c r="C93" s="382">
        <v>3</v>
      </c>
      <c r="D93" s="316">
        <v>156956</v>
      </c>
      <c r="E93" s="317">
        <f>IF(ISBLANK(D93),"-",$D$101/$D$98*D93)</f>
        <v>152396.44319619096</v>
      </c>
      <c r="F93" s="316">
        <v>163458</v>
      </c>
      <c r="G93" s="318">
        <f>IF(ISBLANK(F93),"-",$D$101/$F$98*F93)</f>
        <v>150560.49838658533</v>
      </c>
      <c r="I93" s="499"/>
    </row>
    <row r="94" spans="1:12" ht="27" customHeight="1" x14ac:dyDescent="0.45">
      <c r="A94" s="303" t="s">
        <v>67</v>
      </c>
      <c r="B94" s="304">
        <v>1</v>
      </c>
      <c r="C94" s="399">
        <v>4</v>
      </c>
      <c r="D94" s="321"/>
      <c r="E94" s="322" t="str">
        <f>IF(ISBLANK(D94),"-",$D$101/$D$98*D94)</f>
        <v>-</v>
      </c>
      <c r="F94" s="400"/>
      <c r="G94" s="323" t="str">
        <f>IF(ISBLANK(F94),"-",$D$101/$F$98*F94)</f>
        <v>-</v>
      </c>
      <c r="I94" s="324"/>
    </row>
    <row r="95" spans="1:12" ht="27" customHeight="1" x14ac:dyDescent="0.45">
      <c r="A95" s="303" t="s">
        <v>68</v>
      </c>
      <c r="B95" s="304">
        <v>1</v>
      </c>
      <c r="C95" s="401" t="s">
        <v>69</v>
      </c>
      <c r="D95" s="402">
        <f>AVERAGE(D91:D94)</f>
        <v>158019.66666666666</v>
      </c>
      <c r="E95" s="327">
        <f>AVERAGE(E91:E94)</f>
        <v>153429.21044781784</v>
      </c>
      <c r="F95" s="403">
        <f>AVERAGE(F91:F94)</f>
        <v>162941.66666666666</v>
      </c>
      <c r="G95" s="404">
        <f>AVERAGE(G91:G94)</f>
        <v>150084.90585516885</v>
      </c>
    </row>
    <row r="96" spans="1:12" ht="26.25" customHeight="1" x14ac:dyDescent="0.45">
      <c r="A96" s="303" t="s">
        <v>70</v>
      </c>
      <c r="B96" s="289">
        <v>1</v>
      </c>
      <c r="C96" s="405" t="s">
        <v>109</v>
      </c>
      <c r="D96" s="406">
        <v>22.91</v>
      </c>
      <c r="E96" s="319"/>
      <c r="F96" s="331">
        <v>24.15</v>
      </c>
    </row>
    <row r="97" spans="1:10" ht="26.25" customHeight="1" x14ac:dyDescent="0.45">
      <c r="A97" s="303" t="s">
        <v>72</v>
      </c>
      <c r="B97" s="289">
        <v>1</v>
      </c>
      <c r="C97" s="407" t="s">
        <v>110</v>
      </c>
      <c r="D97" s="408">
        <f>D96*$B$87</f>
        <v>22.91</v>
      </c>
      <c r="E97" s="334"/>
      <c r="F97" s="333">
        <f>F96*$B$87</f>
        <v>24.15</v>
      </c>
    </row>
    <row r="98" spans="1:10" ht="19.5" customHeight="1" x14ac:dyDescent="0.35">
      <c r="A98" s="303" t="s">
        <v>74</v>
      </c>
      <c r="B98" s="409">
        <f>(B97/B96)*(B95/B94)*(B93/B92)*(B91/B90)*B89</f>
        <v>2500</v>
      </c>
      <c r="C98" s="407" t="s">
        <v>111</v>
      </c>
      <c r="D98" s="410">
        <f>D97*$B$83/100</f>
        <v>22.887090000000004</v>
      </c>
      <c r="E98" s="337"/>
      <c r="F98" s="336">
        <f>F97*$B$83/100</f>
        <v>24.12585</v>
      </c>
    </row>
    <row r="99" spans="1:10" ht="19.5" customHeight="1" x14ac:dyDescent="0.35">
      <c r="A99" s="500" t="s">
        <v>76</v>
      </c>
      <c r="B99" s="510"/>
      <c r="C99" s="407" t="s">
        <v>112</v>
      </c>
      <c r="D99" s="411">
        <f>D98/$B$98</f>
        <v>9.1548360000000013E-3</v>
      </c>
      <c r="E99" s="337"/>
      <c r="F99" s="340">
        <f>F98/$B$98</f>
        <v>9.6503400000000003E-3</v>
      </c>
      <c r="G99" s="412"/>
      <c r="H99" s="329"/>
    </row>
    <row r="100" spans="1:10" ht="19.5" customHeight="1" x14ac:dyDescent="0.35">
      <c r="A100" s="502"/>
      <c r="B100" s="511"/>
      <c r="C100" s="407" t="s">
        <v>78</v>
      </c>
      <c r="D100" s="413">
        <f>$B$56/$B$116</f>
        <v>8.8888888888888889E-3</v>
      </c>
      <c r="F100" s="345"/>
      <c r="G100" s="414"/>
      <c r="H100" s="329"/>
    </row>
    <row r="101" spans="1:10" ht="18" x14ac:dyDescent="0.35">
      <c r="C101" s="407" t="s">
        <v>79</v>
      </c>
      <c r="D101" s="408">
        <f>D100*$B$98</f>
        <v>22.222222222222221</v>
      </c>
      <c r="F101" s="345"/>
      <c r="G101" s="412"/>
      <c r="H101" s="329"/>
    </row>
    <row r="102" spans="1:10" ht="19.5" customHeight="1" x14ac:dyDescent="0.35">
      <c r="C102" s="415" t="s">
        <v>80</v>
      </c>
      <c r="D102" s="416">
        <f>D101/B34</f>
        <v>22.222222222222221</v>
      </c>
      <c r="F102" s="349"/>
      <c r="G102" s="412"/>
      <c r="H102" s="329"/>
      <c r="J102" s="417"/>
    </row>
    <row r="103" spans="1:10" ht="18" x14ac:dyDescent="0.35">
      <c r="C103" s="418" t="s">
        <v>113</v>
      </c>
      <c r="D103" s="419">
        <f>AVERAGE(E91:E94,G91:G94)</f>
        <v>151757.05815149334</v>
      </c>
      <c r="F103" s="349"/>
      <c r="G103" s="420"/>
      <c r="H103" s="329"/>
      <c r="J103" s="421"/>
    </row>
    <row r="104" spans="1:10" ht="18" x14ac:dyDescent="0.35">
      <c r="C104" s="385" t="s">
        <v>82</v>
      </c>
      <c r="D104" s="422">
        <f>STDEV(E91:E94,G91:G94)/D103</f>
        <v>1.9258635209635729E-2</v>
      </c>
      <c r="F104" s="349"/>
      <c r="G104" s="412"/>
      <c r="H104" s="329"/>
      <c r="J104" s="421"/>
    </row>
    <row r="105" spans="1:10" ht="19.5" customHeight="1" x14ac:dyDescent="0.35">
      <c r="C105" s="387" t="s">
        <v>20</v>
      </c>
      <c r="D105" s="423">
        <f>COUNT(E91:E94,G91:G94)</f>
        <v>6</v>
      </c>
      <c r="F105" s="349"/>
      <c r="G105" s="412"/>
      <c r="H105" s="329"/>
      <c r="J105" s="421"/>
    </row>
    <row r="106" spans="1:10" ht="19.5" customHeight="1" x14ac:dyDescent="0.35">
      <c r="A106" s="353"/>
      <c r="B106" s="353"/>
      <c r="C106" s="353"/>
      <c r="D106" s="353"/>
      <c r="E106" s="353"/>
    </row>
    <row r="107" spans="1:10" ht="26.25" customHeight="1" x14ac:dyDescent="0.45">
      <c r="A107" s="301" t="s">
        <v>114</v>
      </c>
      <c r="B107" s="302">
        <v>900</v>
      </c>
      <c r="C107" s="424" t="s">
        <v>133</v>
      </c>
      <c r="D107" s="425" t="s">
        <v>61</v>
      </c>
      <c r="E107" s="426" t="s">
        <v>115</v>
      </c>
      <c r="F107" s="427" t="s">
        <v>116</v>
      </c>
    </row>
    <row r="108" spans="1:10" ht="26.25" customHeight="1" x14ac:dyDescent="0.45">
      <c r="A108" s="303" t="s">
        <v>117</v>
      </c>
      <c r="B108" s="304">
        <v>1</v>
      </c>
      <c r="C108" s="428">
        <v>1</v>
      </c>
      <c r="D108" s="429">
        <v>162508</v>
      </c>
      <c r="E108" s="430">
        <f t="shared" ref="E108:E113" si="1">IF(ISBLANK(D108),"-",D108/$D$103*$D$100*$B$116)</f>
        <v>428.33724369584019</v>
      </c>
      <c r="F108" s="431">
        <f t="shared" ref="F108:F113" si="2">IF(ISBLANK(D108), "-", E108/$B$56)</f>
        <v>1.0708431092396005</v>
      </c>
    </row>
    <row r="109" spans="1:10" ht="26.25" customHeight="1" x14ac:dyDescent="0.45">
      <c r="A109" s="303" t="s">
        <v>91</v>
      </c>
      <c r="B109" s="304">
        <v>50</v>
      </c>
      <c r="C109" s="428">
        <v>2</v>
      </c>
      <c r="D109" s="429">
        <v>159907</v>
      </c>
      <c r="E109" s="432">
        <f t="shared" si="1"/>
        <v>421.4815493863116</v>
      </c>
      <c r="F109" s="433">
        <f t="shared" si="2"/>
        <v>1.0537038734657791</v>
      </c>
    </row>
    <row r="110" spans="1:10" ht="26.25" customHeight="1" x14ac:dyDescent="0.45">
      <c r="A110" s="303" t="s">
        <v>92</v>
      </c>
      <c r="B110" s="304">
        <v>1</v>
      </c>
      <c r="C110" s="428">
        <v>3</v>
      </c>
      <c r="D110" s="429">
        <v>161818</v>
      </c>
      <c r="E110" s="432">
        <f t="shared" si="1"/>
        <v>426.51854739688804</v>
      </c>
      <c r="F110" s="433">
        <f t="shared" si="2"/>
        <v>1.0662963684922202</v>
      </c>
    </row>
    <row r="111" spans="1:10" ht="26.25" customHeight="1" x14ac:dyDescent="0.45">
      <c r="A111" s="303" t="s">
        <v>93</v>
      </c>
      <c r="B111" s="304">
        <v>1</v>
      </c>
      <c r="C111" s="428">
        <v>4</v>
      </c>
      <c r="D111" s="429">
        <v>152202</v>
      </c>
      <c r="E111" s="432">
        <f t="shared" si="1"/>
        <v>401.1727740480116</v>
      </c>
      <c r="F111" s="433">
        <f t="shared" si="2"/>
        <v>1.002931935120029</v>
      </c>
    </row>
    <row r="112" spans="1:10" ht="26.25" customHeight="1" x14ac:dyDescent="0.45">
      <c r="A112" s="303" t="s">
        <v>94</v>
      </c>
      <c r="B112" s="304">
        <v>1</v>
      </c>
      <c r="C112" s="428">
        <v>5</v>
      </c>
      <c r="D112" s="429">
        <v>160814</v>
      </c>
      <c r="E112" s="432">
        <f t="shared" si="1"/>
        <v>423.87221249232562</v>
      </c>
      <c r="F112" s="433">
        <f t="shared" si="2"/>
        <v>1.059680531230814</v>
      </c>
    </row>
    <row r="113" spans="1:10" ht="26.25" customHeight="1" x14ac:dyDescent="0.45">
      <c r="A113" s="303" t="s">
        <v>96</v>
      </c>
      <c r="B113" s="304">
        <v>1</v>
      </c>
      <c r="C113" s="434">
        <v>6</v>
      </c>
      <c r="D113" s="435">
        <v>156216</v>
      </c>
      <c r="E113" s="436">
        <f t="shared" si="1"/>
        <v>411.75284208278589</v>
      </c>
      <c r="F113" s="437">
        <f t="shared" si="2"/>
        <v>1.0293821052069647</v>
      </c>
    </row>
    <row r="114" spans="1:10" ht="26.25" customHeight="1" x14ac:dyDescent="0.45">
      <c r="A114" s="303" t="s">
        <v>97</v>
      </c>
      <c r="B114" s="304">
        <v>1</v>
      </c>
      <c r="C114" s="428"/>
      <c r="D114" s="382"/>
      <c r="E114" s="277"/>
      <c r="F114" s="438"/>
    </row>
    <row r="115" spans="1:10" ht="26.25" customHeight="1" x14ac:dyDescent="0.45">
      <c r="A115" s="303" t="s">
        <v>98</v>
      </c>
      <c r="B115" s="304">
        <v>1</v>
      </c>
      <c r="C115" s="428"/>
      <c r="D115" s="439"/>
      <c r="E115" s="440" t="s">
        <v>69</v>
      </c>
      <c r="F115" s="441">
        <f>AVERAGE(F108:F113)</f>
        <v>1.0471396537925679</v>
      </c>
    </row>
    <row r="116" spans="1:10" ht="27" customHeight="1" x14ac:dyDescent="0.45">
      <c r="A116" s="303" t="s">
        <v>99</v>
      </c>
      <c r="B116" s="335">
        <f>(B115/B114)*(B113/B112)*(B111/B110)*(B109/B108)*B107</f>
        <v>45000</v>
      </c>
      <c r="C116" s="442"/>
      <c r="D116" s="443"/>
      <c r="E116" s="401" t="s">
        <v>82</v>
      </c>
      <c r="F116" s="444">
        <f>STDEV(F108:F113)/F115</f>
        <v>2.4898680298287248E-2</v>
      </c>
      <c r="I116" s="277"/>
    </row>
    <row r="117" spans="1:10" ht="27" customHeight="1" x14ac:dyDescent="0.45">
      <c r="A117" s="500" t="s">
        <v>129</v>
      </c>
      <c r="B117" s="501"/>
      <c r="C117" s="445"/>
      <c r="D117" s="446"/>
      <c r="E117" s="447" t="s">
        <v>20</v>
      </c>
      <c r="F117" s="448">
        <f>COUNT(F108:F113)</f>
        <v>6</v>
      </c>
      <c r="I117" s="277"/>
      <c r="J117" s="421"/>
    </row>
    <row r="118" spans="1:10" ht="19.5" customHeight="1" x14ac:dyDescent="0.35">
      <c r="A118" s="502"/>
      <c r="B118" s="503"/>
      <c r="C118" s="277"/>
      <c r="D118" s="277"/>
      <c r="E118" s="277"/>
      <c r="F118" s="382"/>
      <c r="G118" s="277"/>
      <c r="H118" s="277"/>
      <c r="I118" s="277"/>
    </row>
    <row r="119" spans="1:10" ht="18" x14ac:dyDescent="0.35">
      <c r="A119" s="457"/>
      <c r="B119" s="299"/>
      <c r="C119" s="277"/>
      <c r="D119" s="277"/>
      <c r="E119" s="277"/>
      <c r="F119" s="382"/>
      <c r="G119" s="277"/>
      <c r="H119" s="277"/>
      <c r="I119" s="277"/>
    </row>
    <row r="120" spans="1:10" ht="26.25" customHeight="1" x14ac:dyDescent="0.45">
      <c r="A120" s="287" t="s">
        <v>102</v>
      </c>
      <c r="B120" s="389" t="s">
        <v>118</v>
      </c>
      <c r="C120" s="517" t="str">
        <f>B20</f>
        <v xml:space="preserve">Ibuprofen </v>
      </c>
      <c r="D120" s="517"/>
      <c r="E120" s="390" t="s">
        <v>119</v>
      </c>
      <c r="F120" s="390"/>
      <c r="G120" s="391">
        <f>F115</f>
        <v>1.0471396537925679</v>
      </c>
      <c r="H120" s="277"/>
      <c r="I120" s="277"/>
    </row>
    <row r="121" spans="1:10" ht="19.5" customHeight="1" x14ac:dyDescent="0.35">
      <c r="A121" s="449"/>
      <c r="B121" s="449"/>
      <c r="C121" s="450"/>
      <c r="D121" s="450"/>
      <c r="E121" s="450"/>
      <c r="F121" s="450"/>
      <c r="G121" s="450"/>
      <c r="H121" s="450"/>
    </row>
    <row r="122" spans="1:10" ht="18" x14ac:dyDescent="0.35">
      <c r="B122" s="519" t="s">
        <v>26</v>
      </c>
      <c r="C122" s="519"/>
      <c r="E122" s="396" t="s">
        <v>27</v>
      </c>
      <c r="F122" s="451"/>
      <c r="G122" s="519" t="s">
        <v>28</v>
      </c>
      <c r="H122" s="519"/>
    </row>
    <row r="123" spans="1:10" ht="41.25" customHeight="1" x14ac:dyDescent="0.35">
      <c r="A123" s="452" t="s">
        <v>29</v>
      </c>
      <c r="B123" s="453"/>
      <c r="C123" s="453"/>
      <c r="E123" s="453"/>
      <c r="F123" s="277"/>
      <c r="G123" s="454"/>
      <c r="H123" s="454"/>
    </row>
    <row r="124" spans="1:10" ht="39.75" customHeight="1" x14ac:dyDescent="0.35">
      <c r="A124" s="452" t="s">
        <v>30</v>
      </c>
      <c r="B124" s="455"/>
      <c r="C124" s="455"/>
      <c r="E124" s="455"/>
      <c r="F124" s="277"/>
      <c r="G124" s="456"/>
      <c r="H124" s="456"/>
    </row>
    <row r="125" spans="1:10" ht="18" x14ac:dyDescent="0.35">
      <c r="A125" s="381"/>
      <c r="B125" s="381"/>
      <c r="C125" s="382"/>
      <c r="D125" s="382"/>
      <c r="E125" s="382"/>
      <c r="F125" s="386"/>
      <c r="G125" s="382"/>
      <c r="H125" s="382"/>
      <c r="I125" s="277"/>
    </row>
    <row r="126" spans="1:10" ht="18" x14ac:dyDescent="0.35">
      <c r="A126" s="381"/>
      <c r="B126" s="381"/>
      <c r="C126" s="382"/>
      <c r="D126" s="382"/>
      <c r="E126" s="382"/>
      <c r="F126" s="386"/>
      <c r="G126" s="382"/>
      <c r="H126" s="382"/>
      <c r="I126" s="277"/>
    </row>
    <row r="127" spans="1:10" ht="18" x14ac:dyDescent="0.35">
      <c r="A127" s="381"/>
      <c r="B127" s="381"/>
      <c r="C127" s="382"/>
      <c r="D127" s="382"/>
      <c r="E127" s="382"/>
      <c r="F127" s="386"/>
      <c r="G127" s="382"/>
      <c r="H127" s="382"/>
      <c r="I127" s="277"/>
    </row>
    <row r="128" spans="1:10" ht="18" x14ac:dyDescent="0.35">
      <c r="A128" s="381"/>
      <c r="B128" s="381"/>
      <c r="C128" s="382"/>
      <c r="D128" s="382"/>
      <c r="E128" s="382"/>
      <c r="F128" s="386"/>
      <c r="G128" s="382"/>
      <c r="H128" s="382"/>
      <c r="I128" s="277"/>
    </row>
    <row r="129" spans="1:9" ht="18" x14ac:dyDescent="0.35">
      <c r="A129" s="381"/>
      <c r="B129" s="381"/>
      <c r="C129" s="382"/>
      <c r="D129" s="382"/>
      <c r="E129" s="382"/>
      <c r="F129" s="386"/>
      <c r="G129" s="382"/>
      <c r="H129" s="382"/>
      <c r="I129" s="277"/>
    </row>
    <row r="130" spans="1:9" ht="18" x14ac:dyDescent="0.35">
      <c r="A130" s="381"/>
      <c r="B130" s="381"/>
      <c r="C130" s="382"/>
      <c r="D130" s="382"/>
      <c r="E130" s="382"/>
      <c r="F130" s="386"/>
      <c r="G130" s="382"/>
      <c r="H130" s="382"/>
      <c r="I130" s="277"/>
    </row>
    <row r="131" spans="1:9" ht="18" x14ac:dyDescent="0.35">
      <c r="A131" s="381"/>
      <c r="B131" s="381"/>
      <c r="C131" s="382"/>
      <c r="D131" s="382"/>
      <c r="E131" s="382"/>
      <c r="F131" s="386"/>
      <c r="G131" s="382"/>
      <c r="H131" s="382"/>
      <c r="I131" s="277"/>
    </row>
    <row r="132" spans="1:9" ht="18" x14ac:dyDescent="0.35">
      <c r="A132" s="381"/>
      <c r="B132" s="381"/>
      <c r="C132" s="382"/>
      <c r="D132" s="382"/>
      <c r="E132" s="382"/>
      <c r="F132" s="386"/>
      <c r="G132" s="382"/>
      <c r="H132" s="382"/>
      <c r="I132" s="277"/>
    </row>
    <row r="133" spans="1:9" ht="18" x14ac:dyDescent="0.35">
      <c r="A133" s="381"/>
      <c r="B133" s="381"/>
      <c r="C133" s="382"/>
      <c r="D133" s="382"/>
      <c r="E133" s="382"/>
      <c r="F133" s="386"/>
      <c r="G133" s="382"/>
      <c r="H133" s="382"/>
      <c r="I133" s="277"/>
    </row>
    <row r="250" spans="1:1" x14ac:dyDescent="0.3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pcm</vt:lpstr>
      <vt:lpstr>SST ibuprofen </vt:lpstr>
      <vt:lpstr>Uniformity</vt:lpstr>
      <vt:lpstr>Paracetamol</vt:lpstr>
      <vt:lpstr>Ibuprofen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Nicholas Njuguna</cp:lastModifiedBy>
  <cp:lastPrinted>2016-07-06T07:25:15Z</cp:lastPrinted>
  <dcterms:created xsi:type="dcterms:W3CDTF">2005-07-05T10:19:27Z</dcterms:created>
  <dcterms:modified xsi:type="dcterms:W3CDTF">2016-11-02T07:41:36Z</dcterms:modified>
  <cp:category/>
</cp:coreProperties>
</file>