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" sheetId="1" r:id="rId1"/>
    <sheet name="Uniformity" sheetId="2" r:id="rId2"/>
    <sheet name="Cholecalciferol" sheetId="3" r:id="rId3"/>
    <sheet name="Calcium carbonate" sheetId="4" r:id="rId4"/>
  </sheets>
  <definedNames>
    <definedName name="_xlnm.Print_Area" localSheetId="3">'Calcium carbonate'!$A$1:$I$65</definedName>
    <definedName name="_xlnm.Print_Area" localSheetId="2">Cholecalciferol!$A$1:$I$124</definedName>
    <definedName name="_xlnm.Print_Area" localSheetId="0">SST!$A$15:$G$61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55" i="4" l="1"/>
  <c r="C54" i="4"/>
  <c r="C53" i="4"/>
  <c r="D59" i="4"/>
  <c r="D57" i="4"/>
  <c r="D58" i="4" s="1"/>
  <c r="I56" i="4"/>
  <c r="H56" i="4"/>
  <c r="G56" i="4"/>
  <c r="F56" i="4"/>
  <c r="E56" i="4"/>
  <c r="B55" i="4"/>
  <c r="B54" i="4"/>
  <c r="B53" i="4"/>
  <c r="C49" i="4"/>
  <c r="C45" i="4"/>
  <c r="B44" i="4"/>
  <c r="G37" i="4"/>
  <c r="F37" i="4"/>
  <c r="E37" i="4"/>
  <c r="C37" i="4"/>
  <c r="C36" i="4"/>
  <c r="E36" i="4" s="1"/>
  <c r="C35" i="4"/>
  <c r="E35" i="4" s="1"/>
  <c r="C34" i="4"/>
  <c r="E34" i="4" s="1"/>
  <c r="G34" i="4" l="1"/>
  <c r="F34" i="4"/>
  <c r="E40" i="4"/>
  <c r="E38" i="4"/>
  <c r="E39" i="4" s="1"/>
  <c r="G35" i="4"/>
  <c r="F35" i="4"/>
  <c r="G36" i="4"/>
  <c r="F36" i="4"/>
  <c r="E55" i="4"/>
  <c r="E53" i="4"/>
  <c r="E54" i="4"/>
  <c r="F38" i="4" l="1"/>
  <c r="F54" i="4"/>
  <c r="G54" i="4" s="1"/>
  <c r="H54" i="4" s="1"/>
  <c r="I54" i="4" s="1"/>
  <c r="G38" i="4"/>
  <c r="F53" i="4" s="1"/>
  <c r="G53" i="4" s="1"/>
  <c r="H53" i="4" l="1"/>
  <c r="F55" i="4"/>
  <c r="G55" i="4" s="1"/>
  <c r="H55" i="4" s="1"/>
  <c r="I55" i="4" s="1"/>
  <c r="G57" i="4" l="1"/>
  <c r="G59" i="4"/>
  <c r="H57" i="4"/>
  <c r="H58" i="4" s="1"/>
  <c r="H59" i="4"/>
  <c r="I53" i="4"/>
  <c r="I59" i="4" l="1"/>
  <c r="I57" i="4"/>
  <c r="I58" i="4" s="1"/>
  <c r="B21" i="1" l="1"/>
  <c r="C120" i="3" l="1"/>
  <c r="B116" i="3"/>
  <c r="D100" i="3"/>
  <c r="D101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45" i="3"/>
  <c r="E39" i="3" s="1"/>
  <c r="I39" i="3"/>
  <c r="F44" i="3"/>
  <c r="F45" i="3" s="1"/>
  <c r="G41" i="3" s="1"/>
  <c r="D49" i="3"/>
  <c r="D102" i="3"/>
  <c r="E38" i="3"/>
  <c r="D46" i="3"/>
  <c r="B69" i="3"/>
  <c r="D98" i="3"/>
  <c r="E91" i="3" s="1"/>
  <c r="F98" i="3"/>
  <c r="G94" i="3" s="1"/>
  <c r="D24" i="2"/>
  <c r="D28" i="2"/>
  <c r="D32" i="2"/>
  <c r="D36" i="2"/>
  <c r="D40" i="2"/>
  <c r="D49" i="2"/>
  <c r="E41" i="3"/>
  <c r="B57" i="3"/>
  <c r="C50" i="2"/>
  <c r="D26" i="2"/>
  <c r="D30" i="2"/>
  <c r="D34" i="2"/>
  <c r="D38" i="2"/>
  <c r="D42" i="2"/>
  <c r="B49" i="2"/>
  <c r="G93" i="3" l="1"/>
  <c r="E92" i="3"/>
  <c r="G92" i="3"/>
  <c r="E40" i="3"/>
  <c r="E42" i="3" s="1"/>
  <c r="E94" i="3"/>
  <c r="G38" i="3"/>
  <c r="G39" i="3"/>
  <c r="G40" i="3"/>
  <c r="F46" i="3"/>
  <c r="G91" i="3"/>
  <c r="F99" i="3"/>
  <c r="D99" i="3"/>
  <c r="E93" i="3"/>
  <c r="D103" i="3" s="1"/>
  <c r="G95" i="3" l="1"/>
  <c r="D50" i="3"/>
  <c r="G62" i="3" s="1"/>
  <c r="H62" i="3" s="1"/>
  <c r="D105" i="3"/>
  <c r="D52" i="3"/>
  <c r="E95" i="3"/>
  <c r="G42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68" i="3" l="1"/>
  <c r="H68" i="3" s="1"/>
  <c r="G61" i="3"/>
  <c r="H61" i="3" s="1"/>
  <c r="G64" i="3"/>
  <c r="H64" i="3" s="1"/>
  <c r="D51" i="3"/>
  <c r="G63" i="3"/>
  <c r="H63" i="3" s="1"/>
  <c r="G66" i="3"/>
  <c r="H66" i="3" s="1"/>
  <c r="G67" i="3"/>
  <c r="H67" i="3" s="1"/>
  <c r="G71" i="3"/>
  <c r="H71" i="3" s="1"/>
  <c r="G70" i="3"/>
  <c r="H70" i="3" s="1"/>
  <c r="G69" i="3"/>
  <c r="H69" i="3" s="1"/>
  <c r="G65" i="3"/>
  <c r="H65" i="3" s="1"/>
  <c r="G60" i="3"/>
  <c r="E115" i="3"/>
  <c r="E116" i="3" s="1"/>
  <c r="E117" i="3"/>
  <c r="F108" i="3"/>
  <c r="G72" i="3" l="1"/>
  <c r="G73" i="3" s="1"/>
  <c r="G74" i="3"/>
  <c r="H60" i="3"/>
  <c r="H74" i="3" s="1"/>
  <c r="F117" i="3"/>
  <c r="F115" i="3"/>
  <c r="H72" i="3" l="1"/>
  <c r="H73" i="3" s="1"/>
  <c r="G120" i="3"/>
  <c r="F116" i="3"/>
  <c r="G76" i="3" l="1"/>
</calcChain>
</file>

<file path=xl/sharedStrings.xml><?xml version="1.0" encoding="utf-8"?>
<sst xmlns="http://schemas.openxmlformats.org/spreadsheetml/2006/main" count="301" uniqueCount="165">
  <si>
    <t>HPLC System Suitability Report</t>
  </si>
  <si>
    <t>Analysis Data</t>
  </si>
  <si>
    <t>Assay</t>
  </si>
  <si>
    <t>Sample(s)</t>
  </si>
  <si>
    <t>Reference Substance:</t>
  </si>
  <si>
    <t>NATECAL D3 600 mg + 400 I.U</t>
  </si>
  <si>
    <t>% age Purity:</t>
  </si>
  <si>
    <t>NDQD201503142</t>
  </si>
  <si>
    <t>Weight (mg):</t>
  </si>
  <si>
    <t xml:space="preserve">Calcium Carbonate, Cholecalciferol </t>
  </si>
  <si>
    <t>Standard Conc (mg/mL):</t>
  </si>
  <si>
    <t xml:space="preserve">Calcium Carbonate 600 mg Cholecalciferol 400 U.I </t>
  </si>
  <si>
    <t>2015-03-18 07:55:08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</si>
  <si>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</si>
  <si>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</si>
  <si>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</si>
  <si>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</si>
  <si>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</si>
  <si>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</si>
  <si>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</si>
  <si>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</si>
  <si>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</si>
  <si>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</si>
  <si>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</si>
  <si>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</si>
  <si>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</si>
  <si>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</si>
  <si>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</si>
  <si>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</si>
  <si>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</si>
  <si>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</si>
  <si>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</si>
  <si>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</si>
  <si>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</si>
  <si>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</si>
  <si>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</si>
  <si>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</si>
  <si>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</si>
  <si>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</si>
  <si>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</si>
  <si>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</si>
  <si>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</si>
  <si>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</si>
  <si>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</si>
  <si>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</si>
  <si>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</si>
  <si>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</si>
  <si>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</si>
  <si>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</si>
  <si>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</si>
  <si>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</si>
  <si>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</si>
  <si>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</si>
  <si>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</si>
  <si>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</si>
  <si>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</si>
  <si>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</si>
  <si>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</si>
  <si>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</si>
  <si>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</si>
  <si>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</si>
  <si>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</si>
  <si>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</si>
  <si>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</si>
  <si>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</si>
  <si>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</si>
  <si>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</si>
  <si>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</si>
  <si>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</si>
  <si>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</si>
  <si>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</si>
  <si>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</si>
  <si>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</si>
  <si>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</si>
  <si>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</si>
  <si>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</si>
  <si>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</si>
  <si>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</si>
  <si>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</si>
  <si>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</si>
  <si>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</si>
  <si>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</si>
  <si>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</si>
  <si>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</si>
  <si>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</si>
  <si>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</si>
  <si>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</si>
  <si>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</si>
  <si>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</si>
  <si>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</si>
  <si>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</si>
  <si>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</si>
  <si>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</si>
  <si>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</si>
  <si>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</si>
  <si>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</si>
  <si>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</si>
  <si>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</si>
  <si>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</si>
  <si>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</si>
  <si>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</si>
  <si>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</si>
  <si>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</si>
  <si>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</si>
  <si>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</si>
  <si>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</si>
  <si>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</si>
  <si>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</si>
  <si>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</si>
  <si>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</si>
  <si>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</si>
  <si>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</si>
  <si>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</si>
  <si>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</si>
  <si>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</si>
  <si>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</si>
  <si>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</si>
  <si>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</si>
  <si>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</si>
  <si>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</si>
  <si>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</si>
  <si>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</si>
  <si>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</si>
  <si>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</si>
  <si>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</si>
  <si>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Cholecalciferol </t>
  </si>
  <si>
    <t>Cholecalciferol</t>
  </si>
  <si>
    <t>C70-1</t>
  </si>
  <si>
    <t>RUTTO/JOYFRIDA</t>
  </si>
  <si>
    <t>25/05/2016</t>
  </si>
  <si>
    <t>National Quality Control Laoboratory</t>
  </si>
  <si>
    <t>NATECAL D3 600 mg + 400 I.U. ORODISPERSIBLE TABLETS</t>
  </si>
  <si>
    <t>Calcium Carbonate</t>
  </si>
  <si>
    <t xml:space="preserve">Calcium Carbonate 600 mg &amp; Cholecalciferol 400 U.I. </t>
  </si>
  <si>
    <t>Standardisation of Perchloric Acid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</si>
  <si>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</si>
  <si>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</si>
  <si>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</si>
  <si>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</si>
  <si>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</si>
  <si>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</si>
  <si>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</si>
  <si>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</si>
  <si>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</si>
  <si>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</si>
  <si>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</si>
  <si>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</si>
  <si>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</si>
  <si>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</si>
  <si>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</si>
  <si>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</si>
  <si>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 tablet contains</t>
  </si>
  <si>
    <t>Average tablet Content Weight (mg):</t>
  </si>
  <si>
    <t>Each mL of 0.1M EDTA acid VS 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</si>
  <si>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</si>
  <si>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</si>
  <si>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</si>
  <si>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</si>
  <si>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</si>
  <si>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</si>
  <si>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</si>
  <si>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</si>
  <si>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</si>
  <si>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</si>
  <si>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KIPKORIR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</si>
</sst>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0.00\ &quot;M&quot;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46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/>
    </xf>
    <xf numFmtId="0" fontId="26" fillId="2" borderId="0" xfId="1" applyFont="1" applyFill="1"/>
    <xf numFmtId="0" fontId="27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29" fillId="2" borderId="18" xfId="1" applyFont="1" applyFill="1" applyBorder="1" applyAlignment="1">
      <alignment horizontal="center" vertical="center"/>
    </xf>
    <xf numFmtId="0" fontId="29" fillId="2" borderId="19" xfId="1" applyFont="1" applyFill="1" applyBorder="1" applyAlignment="1">
      <alignment horizontal="center" vertical="center"/>
    </xf>
    <xf numFmtId="0" fontId="29" fillId="2" borderId="20" xfId="1" applyFont="1" applyFill="1" applyBorder="1" applyAlignment="1">
      <alignment horizontal="center" vertical="center"/>
    </xf>
    <xf numFmtId="0" fontId="30" fillId="2" borderId="10" xfId="1" applyFont="1" applyFill="1" applyBorder="1" applyAlignment="1">
      <alignment horizontal="center" vertical="center"/>
    </xf>
    <xf numFmtId="0" fontId="24" fillId="2" borderId="0" xfId="1" applyFill="1"/>
    <xf numFmtId="0" fontId="31" fillId="2" borderId="0" xfId="1" applyFont="1" applyFill="1" applyAlignment="1">
      <alignment vertical="center"/>
    </xf>
    <xf numFmtId="0" fontId="31" fillId="3" borderId="0" xfId="1" applyFont="1" applyFill="1" applyAlignment="1" applyProtection="1">
      <alignment vertical="center"/>
      <protection locked="0"/>
    </xf>
    <xf numFmtId="0" fontId="32" fillId="3" borderId="0" xfId="1" applyFont="1" applyFill="1" applyAlignment="1" applyProtection="1">
      <alignment horizontal="left" vertical="center"/>
      <protection locked="0"/>
    </xf>
    <xf numFmtId="0" fontId="32" fillId="2" borderId="0" xfId="1" applyFont="1" applyFill="1" applyAlignment="1" applyProtection="1">
      <alignment vertical="center"/>
      <protection locked="0"/>
    </xf>
    <xf numFmtId="0" fontId="32" fillId="3" borderId="0" xfId="1" applyFont="1" applyFill="1" applyAlignment="1" applyProtection="1">
      <alignment vertical="center"/>
      <protection locked="0"/>
    </xf>
    <xf numFmtId="0" fontId="32" fillId="3" borderId="0" xfId="1" applyFont="1" applyFill="1" applyProtection="1">
      <protection locked="0"/>
    </xf>
    <xf numFmtId="169" fontId="32" fillId="3" borderId="0" xfId="1" applyNumberFormat="1" applyFont="1" applyFill="1" applyAlignment="1" applyProtection="1">
      <alignment horizontal="left" vertical="center"/>
      <protection locked="0"/>
    </xf>
    <xf numFmtId="169" fontId="32" fillId="2" borderId="0" xfId="1" applyNumberFormat="1" applyFont="1" applyFill="1" applyAlignment="1">
      <alignment horizontal="left" vertical="center"/>
    </xf>
    <xf numFmtId="0" fontId="30" fillId="2" borderId="0" xfId="1" applyFont="1" applyFill="1" applyAlignment="1">
      <alignment horizontal="left" vertical="center"/>
    </xf>
    <xf numFmtId="0" fontId="31" fillId="2" borderId="0" xfId="1" applyFont="1" applyFill="1" applyAlignment="1">
      <alignment horizontal="left" vertical="center"/>
    </xf>
    <xf numFmtId="0" fontId="32" fillId="2" borderId="0" xfId="1" applyFont="1" applyFill="1" applyAlignment="1">
      <alignment horizontal="right" vertical="center"/>
    </xf>
    <xf numFmtId="0" fontId="3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vertical="center"/>
    </xf>
    <xf numFmtId="0" fontId="31" fillId="2" borderId="0" xfId="1" applyFont="1" applyFill="1" applyAlignment="1">
      <alignment vertical="center" wrapText="1"/>
    </xf>
    <xf numFmtId="0" fontId="32" fillId="2" borderId="0" xfId="1" applyFont="1" applyFill="1"/>
    <xf numFmtId="0" fontId="33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Alignment="1">
      <alignment horizontal="right"/>
    </xf>
    <xf numFmtId="2" fontId="34" fillId="3" borderId="0" xfId="1" applyNumberFormat="1" applyFont="1" applyFill="1" applyAlignment="1" applyProtection="1">
      <alignment horizontal="left"/>
      <protection locked="0"/>
    </xf>
    <xf numFmtId="2" fontId="34" fillId="3" borderId="0" xfId="1" applyNumberFormat="1" applyFont="1" applyFill="1" applyAlignment="1" applyProtection="1">
      <alignment horizontal="center"/>
      <protection locked="0"/>
    </xf>
    <xf numFmtId="0" fontId="32" fillId="2" borderId="23" xfId="1" applyFont="1" applyFill="1" applyBorder="1" applyAlignment="1">
      <alignment horizontal="right" vertical="center"/>
    </xf>
    <xf numFmtId="2" fontId="34" fillId="2" borderId="0" xfId="1" applyNumberFormat="1" applyFont="1" applyFill="1" applyAlignment="1" applyProtection="1">
      <alignment horizontal="center"/>
      <protection locked="0"/>
    </xf>
    <xf numFmtId="0" fontId="29" fillId="2" borderId="0" xfId="1" applyFont="1" applyFill="1" applyAlignment="1">
      <alignment vertical="center" wrapText="1"/>
    </xf>
    <xf numFmtId="174" fontId="34" fillId="3" borderId="0" xfId="1" applyNumberFormat="1" applyFont="1" applyFill="1" applyAlignment="1" applyProtection="1">
      <alignment horizontal="center"/>
      <protection locked="0"/>
    </xf>
    <xf numFmtId="2" fontId="32" fillId="2" borderId="0" xfId="1" applyNumberFormat="1" applyFont="1" applyFill="1" applyAlignment="1">
      <alignment horizontal="right"/>
    </xf>
    <xf numFmtId="2" fontId="31" fillId="2" borderId="0" xfId="1" applyNumberFormat="1" applyFont="1" applyFill="1" applyAlignment="1" applyProtection="1">
      <alignment horizontal="center"/>
      <protection locked="0"/>
    </xf>
    <xf numFmtId="2" fontId="31" fillId="2" borderId="0" xfId="1" applyNumberFormat="1" applyFont="1" applyFill="1" applyAlignment="1">
      <alignment horizontal="centerContinuous"/>
    </xf>
    <xf numFmtId="2" fontId="31" fillId="2" borderId="13" xfId="1" applyNumberFormat="1" applyFont="1" applyFill="1" applyBorder="1" applyAlignment="1">
      <alignment horizontal="center" vertical="center"/>
    </xf>
    <xf numFmtId="2" fontId="31" fillId="2" borderId="10" xfId="1" applyNumberFormat="1" applyFont="1" applyFill="1" applyBorder="1" applyAlignment="1">
      <alignment horizontal="center" vertical="center"/>
    </xf>
    <xf numFmtId="2" fontId="31" fillId="2" borderId="22" xfId="1" applyNumberFormat="1" applyFont="1" applyFill="1" applyBorder="1" applyAlignment="1">
      <alignment horizontal="center" vertical="center"/>
    </xf>
    <xf numFmtId="0" fontId="32" fillId="2" borderId="16" xfId="1" applyFont="1" applyFill="1" applyBorder="1" applyAlignment="1">
      <alignment horizontal="center"/>
    </xf>
    <xf numFmtId="2" fontId="34" fillId="3" borderId="16" xfId="1" applyNumberFormat="1" applyFont="1" applyFill="1" applyBorder="1" applyAlignment="1" applyProtection="1">
      <alignment horizontal="center"/>
      <protection locked="0"/>
    </xf>
    <xf numFmtId="166" fontId="32" fillId="2" borderId="40" xfId="1" applyNumberFormat="1" applyFont="1" applyFill="1" applyBorder="1" applyAlignment="1">
      <alignment horizontal="center"/>
    </xf>
    <xf numFmtId="164" fontId="32" fillId="2" borderId="40" xfId="1" applyNumberFormat="1" applyFont="1" applyFill="1" applyBorder="1" applyAlignment="1">
      <alignment horizontal="center"/>
    </xf>
    <xf numFmtId="10" fontId="32" fillId="2" borderId="16" xfId="1" applyNumberFormat="1" applyFont="1" applyFill="1" applyBorder="1" applyAlignment="1">
      <alignment horizontal="center"/>
    </xf>
    <xf numFmtId="164" fontId="32" fillId="2" borderId="16" xfId="1" applyNumberFormat="1" applyFont="1" applyFill="1" applyBorder="1" applyAlignment="1">
      <alignment horizontal="center"/>
    </xf>
    <xf numFmtId="0" fontId="32" fillId="2" borderId="41" xfId="1" applyFont="1" applyFill="1" applyBorder="1" applyAlignment="1">
      <alignment horizontal="center"/>
    </xf>
    <xf numFmtId="2" fontId="34" fillId="3" borderId="41" xfId="1" applyNumberFormat="1" applyFont="1" applyFill="1" applyBorder="1" applyAlignment="1" applyProtection="1">
      <alignment horizontal="center"/>
      <protection locked="0"/>
    </xf>
    <xf numFmtId="166" fontId="32" fillId="2" borderId="11" xfId="1" applyNumberFormat="1" applyFont="1" applyFill="1" applyBorder="1" applyAlignment="1">
      <alignment horizontal="center"/>
    </xf>
    <xf numFmtId="164" fontId="32" fillId="2" borderId="11" xfId="1" applyNumberFormat="1" applyFont="1" applyFill="1" applyBorder="1" applyAlignment="1">
      <alignment horizontal="center"/>
    </xf>
    <xf numFmtId="10" fontId="32" fillId="2" borderId="41" xfId="1" applyNumberFormat="1" applyFont="1" applyFill="1" applyBorder="1" applyAlignment="1">
      <alignment horizontal="center"/>
    </xf>
    <xf numFmtId="164" fontId="32" fillId="2" borderId="41" xfId="1" applyNumberFormat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2" fontId="34" fillId="3" borderId="17" xfId="1" applyNumberFormat="1" applyFont="1" applyFill="1" applyBorder="1" applyAlignment="1" applyProtection="1">
      <alignment horizontal="center"/>
      <protection locked="0"/>
    </xf>
    <xf numFmtId="166" fontId="32" fillId="2" borderId="56" xfId="1" applyNumberFormat="1" applyFont="1" applyFill="1" applyBorder="1" applyAlignment="1">
      <alignment horizontal="center"/>
    </xf>
    <xf numFmtId="164" fontId="32" fillId="2" borderId="56" xfId="1" applyNumberFormat="1" applyFont="1" applyFill="1" applyBorder="1" applyAlignment="1">
      <alignment horizontal="center"/>
    </xf>
    <xf numFmtId="10" fontId="32" fillId="2" borderId="17" xfId="1" applyNumberFormat="1" applyFont="1" applyFill="1" applyBorder="1" applyAlignment="1">
      <alignment horizontal="center"/>
    </xf>
    <xf numFmtId="164" fontId="32" fillId="2" borderId="17" xfId="1" applyNumberFormat="1" applyFont="1" applyFill="1" applyBorder="1" applyAlignment="1">
      <alignment horizontal="center"/>
    </xf>
    <xf numFmtId="0" fontId="32" fillId="2" borderId="47" xfId="1" applyFont="1" applyFill="1" applyBorder="1" applyAlignment="1">
      <alignment horizontal="right"/>
    </xf>
    <xf numFmtId="164" fontId="31" fillId="7" borderId="16" xfId="1" applyNumberFormat="1" applyFont="1" applyFill="1" applyBorder="1" applyAlignment="1">
      <alignment horizontal="center"/>
    </xf>
    <xf numFmtId="10" fontId="31" fillId="7" borderId="44" xfId="1" applyNumberFormat="1" applyFont="1" applyFill="1" applyBorder="1" applyAlignment="1">
      <alignment horizontal="center"/>
    </xf>
    <xf numFmtId="166" fontId="31" fillId="7" borderId="12" xfId="1" applyNumberFormat="1" applyFont="1" applyFill="1" applyBorder="1" applyAlignment="1">
      <alignment horizontal="center"/>
    </xf>
    <xf numFmtId="2" fontId="32" fillId="2" borderId="59" xfId="1" applyNumberFormat="1" applyFont="1" applyFill="1" applyBorder="1"/>
    <xf numFmtId="164" fontId="32" fillId="8" borderId="59" xfId="1" applyNumberFormat="1" applyFont="1" applyFill="1" applyBorder="1"/>
    <xf numFmtId="0" fontId="32" fillId="2" borderId="42" xfId="1" applyFont="1" applyFill="1" applyBorder="1" applyAlignment="1">
      <alignment horizontal="right"/>
    </xf>
    <xf numFmtId="10" fontId="32" fillId="6" borderId="41" xfId="1" applyNumberFormat="1" applyFont="1" applyFill="1" applyBorder="1" applyAlignment="1">
      <alignment horizontal="center"/>
    </xf>
    <xf numFmtId="10" fontId="32" fillId="2" borderId="0" xfId="1" applyNumberFormat="1" applyFont="1" applyFill="1" applyAlignment="1">
      <alignment horizontal="center"/>
    </xf>
    <xf numFmtId="0" fontId="32" fillId="2" borderId="60" xfId="1" applyFont="1" applyFill="1" applyBorder="1" applyAlignment="1">
      <alignment horizontal="right"/>
    </xf>
    <xf numFmtId="0" fontId="32" fillId="7" borderId="17" xfId="1" applyFont="1" applyFill="1" applyBorder="1" applyAlignment="1">
      <alignment horizontal="center"/>
    </xf>
    <xf numFmtId="0" fontId="32" fillId="2" borderId="0" xfId="1" applyFont="1" applyFill="1" applyAlignment="1">
      <alignment horizontal="center"/>
    </xf>
    <xf numFmtId="2" fontId="32" fillId="2" borderId="61" xfId="1" applyNumberFormat="1" applyFont="1" applyFill="1" applyBorder="1"/>
    <xf numFmtId="2" fontId="32" fillId="8" borderId="59" xfId="1" applyNumberFormat="1" applyFont="1" applyFill="1" applyBorder="1"/>
    <xf numFmtId="2" fontId="32" fillId="2" borderId="62" xfId="1" applyNumberFormat="1" applyFont="1" applyFill="1" applyBorder="1"/>
    <xf numFmtId="0" fontId="30" fillId="2" borderId="0" xfId="1" applyFont="1" applyFill="1" applyAlignment="1">
      <alignment vertical="center"/>
    </xf>
    <xf numFmtId="0" fontId="32" fillId="2" borderId="0" xfId="1" applyFont="1" applyFill="1" applyAlignment="1">
      <alignment horizontal="left" vertical="center"/>
    </xf>
    <xf numFmtId="0" fontId="31" fillId="3" borderId="0" xfId="1" applyFont="1" applyFill="1" applyAlignment="1" applyProtection="1">
      <alignment horizontal="center" vertical="center"/>
      <protection locked="0"/>
    </xf>
    <xf numFmtId="0" fontId="32" fillId="2" borderId="0" xfId="1" applyFont="1" applyFill="1" applyAlignment="1">
      <alignment horizontal="center" vertical="center"/>
    </xf>
    <xf numFmtId="0" fontId="31" fillId="2" borderId="0" xfId="1" applyFont="1" applyFill="1" applyAlignment="1" applyProtection="1">
      <alignment horizontal="center" vertical="center"/>
      <protection locked="0"/>
    </xf>
    <xf numFmtId="166" fontId="31" fillId="3" borderId="0" xfId="1" applyNumberFormat="1" applyFont="1" applyFill="1" applyAlignment="1" applyProtection="1">
      <alignment horizontal="center" vertical="center"/>
      <protection locked="0"/>
    </xf>
    <xf numFmtId="166" fontId="31" fillId="2" borderId="0" xfId="1" applyNumberFormat="1" applyFont="1" applyFill="1" applyAlignment="1" applyProtection="1">
      <alignment horizontal="center" vertical="center"/>
      <protection locked="0"/>
    </xf>
    <xf numFmtId="2" fontId="31" fillId="2" borderId="18" xfId="1" applyNumberFormat="1" applyFont="1" applyFill="1" applyBorder="1" applyAlignment="1">
      <alignment horizontal="center" vertical="center"/>
    </xf>
    <xf numFmtId="2" fontId="31" fillId="2" borderId="20" xfId="1" applyNumberFormat="1" applyFont="1" applyFill="1" applyBorder="1" applyAlignment="1">
      <alignment horizontal="center" vertical="center"/>
    </xf>
    <xf numFmtId="2" fontId="31" fillId="2" borderId="0" xfId="1" applyNumberFormat="1" applyFont="1" applyFill="1" applyAlignment="1">
      <alignment vertical="center"/>
    </xf>
    <xf numFmtId="2" fontId="31" fillId="2" borderId="12" xfId="1" applyNumberFormat="1" applyFont="1" applyFill="1" applyBorder="1" applyAlignment="1">
      <alignment horizontal="center" vertical="center"/>
    </xf>
    <xf numFmtId="2" fontId="31" fillId="2" borderId="21" xfId="1" applyNumberFormat="1" applyFont="1" applyFill="1" applyBorder="1" applyAlignment="1">
      <alignment horizontal="center" vertical="center"/>
    </xf>
    <xf numFmtId="2" fontId="31" fillId="2" borderId="13" xfId="1" applyNumberFormat="1" applyFont="1" applyFill="1" applyBorder="1" applyAlignment="1">
      <alignment vertical="center"/>
    </xf>
    <xf numFmtId="2" fontId="31" fillId="2" borderId="0" xfId="1" applyNumberFormat="1" applyFont="1" applyFill="1" applyAlignment="1">
      <alignment horizontal="center" vertical="center"/>
    </xf>
    <xf numFmtId="0" fontId="32" fillId="2" borderId="47" xfId="1" applyFont="1" applyFill="1" applyBorder="1" applyAlignment="1">
      <alignment horizontal="center"/>
    </xf>
    <xf numFmtId="2" fontId="34" fillId="3" borderId="47" xfId="1" applyNumberFormat="1" applyFont="1" applyFill="1" applyBorder="1" applyAlignment="1" applyProtection="1">
      <alignment horizontal="center"/>
      <protection locked="0"/>
    </xf>
    <xf numFmtId="2" fontId="34" fillId="3" borderId="51" xfId="1" applyNumberFormat="1" applyFont="1" applyFill="1" applyBorder="1" applyAlignment="1" applyProtection="1">
      <alignment horizontal="center"/>
      <protection locked="0"/>
    </xf>
    <xf numFmtId="2" fontId="34" fillId="3" borderId="52" xfId="1" applyNumberFormat="1" applyFont="1" applyFill="1" applyBorder="1" applyAlignment="1" applyProtection="1">
      <alignment horizontal="center"/>
      <protection locked="0"/>
    </xf>
    <xf numFmtId="2" fontId="32" fillId="2" borderId="40" xfId="1" applyNumberFormat="1" applyFont="1" applyFill="1" applyBorder="1" applyAlignment="1">
      <alignment horizontal="center" vertical="center"/>
    </xf>
    <xf numFmtId="166" fontId="32" fillId="2" borderId="16" xfId="1" applyNumberFormat="1" applyFont="1" applyFill="1" applyBorder="1" applyAlignment="1">
      <alignment horizontal="center" vertical="center"/>
    </xf>
    <xf numFmtId="2" fontId="32" fillId="2" borderId="58" xfId="1" applyNumberFormat="1" applyFont="1" applyFill="1" applyBorder="1" applyAlignment="1">
      <alignment horizontal="center"/>
    </xf>
    <xf numFmtId="2" fontId="32" fillId="2" borderId="40" xfId="1" applyNumberFormat="1" applyFont="1" applyFill="1" applyBorder="1" applyAlignment="1">
      <alignment horizontal="center"/>
    </xf>
    <xf numFmtId="2" fontId="32" fillId="2" borderId="0" xfId="1" applyNumberFormat="1" applyFont="1" applyFill="1" applyAlignment="1">
      <alignment horizontal="center"/>
    </xf>
    <xf numFmtId="0" fontId="32" fillId="2" borderId="42" xfId="1" applyFont="1" applyFill="1" applyBorder="1" applyAlignment="1">
      <alignment horizontal="center"/>
    </xf>
    <xf numFmtId="2" fontId="34" fillId="3" borderId="42" xfId="1" applyNumberFormat="1" applyFont="1" applyFill="1" applyBorder="1" applyAlignment="1" applyProtection="1">
      <alignment horizontal="center"/>
      <protection locked="0"/>
    </xf>
    <xf numFmtId="2" fontId="34" fillId="3" borderId="27" xfId="1" applyNumberFormat="1" applyFont="1" applyFill="1" applyBorder="1" applyAlignment="1" applyProtection="1">
      <alignment horizontal="center"/>
      <protection locked="0"/>
    </xf>
    <xf numFmtId="2" fontId="32" fillId="2" borderId="11" xfId="1" applyNumberFormat="1" applyFont="1" applyFill="1" applyBorder="1" applyAlignment="1">
      <alignment horizontal="center" vertical="center"/>
    </xf>
    <xf numFmtId="166" fontId="32" fillId="2" borderId="41" xfId="1" applyNumberFormat="1" applyFont="1" applyFill="1" applyBorder="1" applyAlignment="1">
      <alignment horizontal="center" vertical="center"/>
    </xf>
    <xf numFmtId="2" fontId="32" fillId="2" borderId="57" xfId="1" applyNumberFormat="1" applyFont="1" applyFill="1" applyBorder="1" applyAlignment="1">
      <alignment horizontal="center"/>
    </xf>
    <xf numFmtId="2" fontId="32" fillId="2" borderId="11" xfId="1" applyNumberFormat="1" applyFont="1" applyFill="1" applyBorder="1" applyAlignment="1">
      <alignment horizontal="center"/>
    </xf>
    <xf numFmtId="0" fontId="32" fillId="2" borderId="60" xfId="1" applyFont="1" applyFill="1" applyBorder="1" applyAlignment="1">
      <alignment horizontal="center"/>
    </xf>
    <xf numFmtId="2" fontId="34" fillId="3" borderId="60" xfId="1" applyNumberFormat="1" applyFont="1" applyFill="1" applyBorder="1" applyAlignment="1" applyProtection="1">
      <alignment horizontal="center"/>
      <protection locked="0"/>
    </xf>
    <xf numFmtId="2" fontId="34" fillId="3" borderId="63" xfId="1" applyNumberFormat="1" applyFont="1" applyFill="1" applyBorder="1" applyAlignment="1" applyProtection="1">
      <alignment horizontal="center"/>
      <protection locked="0"/>
    </xf>
    <xf numFmtId="0" fontId="32" fillId="2" borderId="56" xfId="1" applyFont="1" applyFill="1" applyBorder="1" applyAlignment="1">
      <alignment horizontal="center" vertical="center"/>
    </xf>
    <xf numFmtId="166" fontId="32" fillId="2" borderId="17" xfId="1" applyNumberFormat="1" applyFont="1" applyFill="1" applyBorder="1" applyAlignment="1">
      <alignment horizontal="center" vertical="center"/>
    </xf>
    <xf numFmtId="2" fontId="32" fillId="2" borderId="46" xfId="1" applyNumberFormat="1" applyFont="1" applyFill="1" applyBorder="1" applyAlignment="1">
      <alignment horizontal="center"/>
    </xf>
    <xf numFmtId="2" fontId="32" fillId="2" borderId="56" xfId="1" applyNumberFormat="1" applyFont="1" applyFill="1" applyBorder="1" applyAlignment="1">
      <alignment horizontal="center"/>
    </xf>
    <xf numFmtId="0" fontId="32" fillId="2" borderId="34" xfId="1" applyFont="1" applyFill="1" applyBorder="1" applyAlignment="1">
      <alignment horizontal="right"/>
    </xf>
    <xf numFmtId="166" fontId="31" fillId="7" borderId="45" xfId="1" applyNumberFormat="1" applyFont="1" applyFill="1" applyBorder="1" applyAlignment="1">
      <alignment horizontal="center"/>
    </xf>
    <xf numFmtId="2" fontId="34" fillId="7" borderId="45" xfId="1" applyNumberFormat="1" applyFont="1" applyFill="1" applyBorder="1" applyAlignment="1">
      <alignment horizontal="center"/>
    </xf>
    <xf numFmtId="10" fontId="34" fillId="7" borderId="45" xfId="1" applyNumberFormat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10" fontId="35" fillId="2" borderId="41" xfId="1" applyNumberFormat="1" applyFont="1" applyFill="1" applyBorder="1" applyAlignment="1">
      <alignment horizontal="center"/>
    </xf>
    <xf numFmtId="10" fontId="35" fillId="6" borderId="41" xfId="1" applyNumberFormat="1" applyFont="1" applyFill="1" applyBorder="1" applyAlignment="1">
      <alignment horizontal="center"/>
    </xf>
    <xf numFmtId="10" fontId="35" fillId="2" borderId="0" xfId="1" applyNumberFormat="1" applyFont="1" applyFill="1" applyAlignment="1">
      <alignment horizontal="center"/>
    </xf>
    <xf numFmtId="0" fontId="35" fillId="7" borderId="17" xfId="1" applyFont="1" applyFill="1" applyBorder="1" applyAlignment="1">
      <alignment horizontal="center"/>
    </xf>
    <xf numFmtId="0" fontId="35" fillId="2" borderId="0" xfId="1" applyFont="1" applyFill="1" applyAlignment="1">
      <alignment horizontal="center"/>
    </xf>
    <xf numFmtId="0" fontId="29" fillId="2" borderId="9" xfId="1" applyFont="1" applyFill="1" applyBorder="1" applyAlignment="1">
      <alignment horizontal="left" vertical="center" wrapText="1"/>
    </xf>
    <xf numFmtId="0" fontId="32" fillId="2" borderId="9" xfId="1" applyFont="1" applyFill="1" applyBorder="1" applyAlignment="1">
      <alignment vertical="center"/>
    </xf>
    <xf numFmtId="0" fontId="31" fillId="2" borderId="10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32" fillId="2" borderId="10" xfId="1" applyFont="1" applyFill="1" applyBorder="1" applyAlignment="1">
      <alignment horizontal="center" vertical="center"/>
    </xf>
    <xf numFmtId="0" fontId="31" fillId="2" borderId="0" xfId="1" applyFont="1" applyFill="1" applyAlignment="1">
      <alignment horizontal="right" vertical="center"/>
    </xf>
    <xf numFmtId="0" fontId="32" fillId="2" borderId="7" xfId="1" applyFont="1" applyFill="1" applyBorder="1" applyAlignment="1" applyProtection="1">
      <alignment vertical="center"/>
      <protection locked="0"/>
    </xf>
    <xf numFmtId="0" fontId="32" fillId="2" borderId="7" xfId="1" applyFont="1" applyFill="1" applyBorder="1" applyAlignment="1">
      <alignment vertical="center"/>
    </xf>
    <xf numFmtId="0" fontId="31" fillId="2" borderId="11" xfId="1" applyFont="1" applyFill="1" applyBorder="1" applyAlignment="1" applyProtection="1">
      <alignment vertical="center"/>
      <protection locked="0"/>
    </xf>
    <xf numFmtId="0" fontId="31" fillId="2" borderId="11" xfId="1" applyFont="1" applyFill="1" applyBorder="1" applyAlignment="1">
      <alignment vertical="center"/>
    </xf>
    <xf numFmtId="0" fontId="32" fillId="2" borderId="11" xfId="1" applyFont="1" applyFill="1" applyBorder="1" applyAlignment="1">
      <alignment vertical="center"/>
    </xf>
    <xf numFmtId="2" fontId="32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3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7" sqref="B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10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10/100*3/100*4/50</f>
        <v>2.4000000000000003E-4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1114755</v>
      </c>
      <c r="C24" s="281">
        <v>3006.4</v>
      </c>
      <c r="D24" s="19">
        <v>1.1000000000000001</v>
      </c>
      <c r="E24" s="20">
        <v>6.8</v>
      </c>
    </row>
    <row r="25" spans="1:6" ht="16.5" customHeight="1" x14ac:dyDescent="0.3">
      <c r="A25" s="17">
        <v>2</v>
      </c>
      <c r="B25" s="18">
        <v>1129710</v>
      </c>
      <c r="C25" s="281">
        <v>3008.8</v>
      </c>
      <c r="D25" s="19">
        <v>1.1000000000000001</v>
      </c>
      <c r="E25" s="19">
        <v>6.8</v>
      </c>
    </row>
    <row r="26" spans="1:6" ht="16.5" customHeight="1" x14ac:dyDescent="0.3">
      <c r="A26" s="17">
        <v>3</v>
      </c>
      <c r="B26" s="18">
        <v>1127852</v>
      </c>
      <c r="C26" s="281">
        <v>3006.8</v>
      </c>
      <c r="D26" s="19">
        <v>1.1000000000000001</v>
      </c>
      <c r="E26" s="19">
        <v>6.8</v>
      </c>
    </row>
    <row r="27" spans="1:6" ht="16.5" customHeight="1" x14ac:dyDescent="0.3">
      <c r="A27" s="17">
        <v>4</v>
      </c>
      <c r="B27" s="18">
        <v>1131781</v>
      </c>
      <c r="C27" s="281">
        <v>2999.4</v>
      </c>
      <c r="D27" s="19">
        <v>1.1000000000000001</v>
      </c>
      <c r="E27" s="19">
        <v>6.8</v>
      </c>
    </row>
    <row r="28" spans="1:6" ht="16.5" customHeight="1" x14ac:dyDescent="0.3">
      <c r="A28" s="17">
        <v>5</v>
      </c>
      <c r="B28" s="18">
        <v>1127065</v>
      </c>
      <c r="C28" s="281">
        <v>3004</v>
      </c>
      <c r="D28" s="19">
        <v>1.1000000000000001</v>
      </c>
      <c r="E28" s="19">
        <v>6.8</v>
      </c>
    </row>
    <row r="29" spans="1:6" ht="16.5" customHeight="1" x14ac:dyDescent="0.3">
      <c r="A29" s="17">
        <v>6</v>
      </c>
      <c r="B29" s="21">
        <v>1130047</v>
      </c>
      <c r="C29" s="282">
        <v>3006.7</v>
      </c>
      <c r="D29" s="22">
        <v>1.1000000000000001</v>
      </c>
      <c r="E29" s="22">
        <v>6.8</v>
      </c>
    </row>
    <row r="30" spans="1:6" ht="16.5" customHeight="1" x14ac:dyDescent="0.3">
      <c r="A30" s="23" t="s">
        <v>18</v>
      </c>
      <c r="B30" s="24">
        <f>AVERAGE(B24:B29)</f>
        <v>1126868.3333333333</v>
      </c>
      <c r="C30" s="26">
        <f>AVERAGE(C24:C29)</f>
        <v>3005.35</v>
      </c>
      <c r="D30" s="26">
        <f>AVERAGE(D24:D29)</f>
        <v>1.0999999999999999</v>
      </c>
      <c r="E30" s="26">
        <f>AVERAGE(E24:E29)</f>
        <v>6.8</v>
      </c>
    </row>
    <row r="31" spans="1:6" ht="16.5" customHeight="1" x14ac:dyDescent="0.3">
      <c r="A31" s="27" t="s">
        <v>19</v>
      </c>
      <c r="B31" s="28">
        <f>(STDEV(B24:B29)/B30)</f>
        <v>5.4711485993439498E-3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0.75" customHeight="1" x14ac:dyDescent="0.3">
      <c r="A38" s="5" t="s">
        <v>1</v>
      </c>
      <c r="B38" s="6" t="s">
        <v>25</v>
      </c>
    </row>
    <row r="39" spans="1:6" ht="15.75" hidden="1" customHeight="1" x14ac:dyDescent="0.3">
      <c r="A39" s="11" t="s">
        <v>4</v>
      </c>
      <c r="C39" s="10"/>
      <c r="D39" s="10"/>
      <c r="E39" s="10"/>
    </row>
    <row r="40" spans="1:6" ht="16.5" hidden="1" customHeight="1" x14ac:dyDescent="0.3">
      <c r="A40" s="11" t="s">
        <v>6</v>
      </c>
      <c r="B40" s="12"/>
      <c r="C40" s="10"/>
      <c r="D40" s="10"/>
      <c r="E40" s="10"/>
    </row>
    <row r="41" spans="1:6" ht="16.5" hidden="1" customHeight="1" x14ac:dyDescent="0.3">
      <c r="A41" s="7" t="s">
        <v>8</v>
      </c>
      <c r="B41" s="12"/>
      <c r="C41" s="10"/>
      <c r="D41" s="10"/>
      <c r="E41" s="10"/>
    </row>
    <row r="42" spans="1:6" ht="16.5" hidden="1" customHeight="1" x14ac:dyDescent="0.3">
      <c r="A42" s="7" t="s">
        <v>10</v>
      </c>
      <c r="B42" s="13"/>
      <c r="C42" s="10"/>
      <c r="D42" s="10"/>
      <c r="E42" s="10"/>
    </row>
    <row r="43" spans="1:6" ht="15.75" hidden="1" customHeight="1" x14ac:dyDescent="0.25">
      <c r="A43" s="10"/>
      <c r="B43" s="10"/>
      <c r="C43" s="10"/>
      <c r="D43" s="10"/>
      <c r="E43" s="10"/>
    </row>
    <row r="44" spans="1:6" ht="16.5" hidden="1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hidden="1" customHeight="1" x14ac:dyDescent="0.3">
      <c r="A45" s="17">
        <v>1</v>
      </c>
      <c r="B45" s="18"/>
      <c r="C45" s="18"/>
      <c r="D45" s="19"/>
      <c r="E45" s="20"/>
    </row>
    <row r="46" spans="1:6" ht="16.5" hidden="1" customHeight="1" x14ac:dyDescent="0.3">
      <c r="A46" s="17">
        <v>2</v>
      </c>
      <c r="B46" s="18"/>
      <c r="C46" s="18"/>
      <c r="D46" s="19"/>
      <c r="E46" s="19"/>
    </row>
    <row r="47" spans="1:6" ht="16.5" hidden="1" customHeight="1" x14ac:dyDescent="0.3">
      <c r="A47" s="17">
        <v>3</v>
      </c>
      <c r="B47" s="18"/>
      <c r="C47" s="18"/>
      <c r="D47" s="19"/>
      <c r="E47" s="19"/>
    </row>
    <row r="48" spans="1:6" ht="16.5" hidden="1" customHeight="1" x14ac:dyDescent="0.3">
      <c r="A48" s="17">
        <v>4</v>
      </c>
      <c r="B48" s="18"/>
      <c r="C48" s="18"/>
      <c r="D48" s="19"/>
      <c r="E48" s="19"/>
    </row>
    <row r="49" spans="1:7" ht="16.5" hidden="1" customHeight="1" x14ac:dyDescent="0.3">
      <c r="A49" s="17">
        <v>5</v>
      </c>
      <c r="B49" s="18"/>
      <c r="C49" s="18"/>
      <c r="D49" s="19"/>
      <c r="E49" s="19"/>
    </row>
    <row r="50" spans="1:7" ht="16.5" hidden="1" customHeight="1" x14ac:dyDescent="0.3">
      <c r="A50" s="17">
        <v>6</v>
      </c>
      <c r="B50" s="21"/>
      <c r="C50" s="21"/>
      <c r="D50" s="22"/>
      <c r="E50" s="22"/>
    </row>
    <row r="51" spans="1:7" ht="16.5" hidden="1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hidden="1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hidden="1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hidden="1" customHeight="1" x14ac:dyDescent="0.25">
      <c r="A54" s="10"/>
      <c r="B54" s="10"/>
      <c r="C54" s="10"/>
      <c r="D54" s="10"/>
      <c r="E54" s="36"/>
    </row>
    <row r="55" spans="1:7" s="2" customFormat="1" ht="16.5" hidden="1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hidden="1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hidden="1" customHeight="1" x14ac:dyDescent="0.3">
      <c r="A57" s="11"/>
      <c r="B57" s="40" t="s">
        <v>24</v>
      </c>
      <c r="C57" s="38"/>
      <c r="D57" s="39"/>
      <c r="E57" s="38"/>
    </row>
    <row r="58" spans="1:7" ht="14.25" hidden="1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128</v>
      </c>
      <c r="C60" s="48"/>
      <c r="E60" s="48" t="s">
        <v>129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2128.13</v>
      </c>
      <c r="D24" s="87">
        <f t="shared" ref="D24:D43" si="0">(C24-$C$46)/$C$46</f>
        <v>7.5612187431867246E-3</v>
      </c>
      <c r="E24" s="53"/>
    </row>
    <row r="25" spans="1:5" ht="15.75" customHeight="1" x14ac:dyDescent="0.3">
      <c r="C25" s="95">
        <v>2102.81</v>
      </c>
      <c r="D25" s="88">
        <f t="shared" si="0"/>
        <v>-4.4265122970117837E-3</v>
      </c>
      <c r="E25" s="53"/>
    </row>
    <row r="26" spans="1:5" ht="15.75" customHeight="1" x14ac:dyDescent="0.3">
      <c r="C26" s="95">
        <v>2111.86</v>
      </c>
      <c r="D26" s="88">
        <f t="shared" si="0"/>
        <v>-1.4179800341786687E-4</v>
      </c>
      <c r="E26" s="53"/>
    </row>
    <row r="27" spans="1:5" ht="15.75" customHeight="1" x14ac:dyDescent="0.3">
      <c r="C27" s="95">
        <v>2131.54</v>
      </c>
      <c r="D27" s="88">
        <f t="shared" si="0"/>
        <v>9.1756801510490833E-3</v>
      </c>
      <c r="E27" s="53"/>
    </row>
    <row r="28" spans="1:5" ht="15.75" customHeight="1" x14ac:dyDescent="0.3">
      <c r="C28" s="95">
        <v>2123.2199999999998</v>
      </c>
      <c r="D28" s="88">
        <f t="shared" si="0"/>
        <v>5.2365836955019689E-3</v>
      </c>
      <c r="E28" s="53"/>
    </row>
    <row r="29" spans="1:5" ht="15.75" customHeight="1" x14ac:dyDescent="0.3">
      <c r="C29" s="95">
        <v>2112.25</v>
      </c>
      <c r="D29" s="88">
        <f t="shared" si="0"/>
        <v>4.284714293584013E-5</v>
      </c>
      <c r="E29" s="53"/>
    </row>
    <row r="30" spans="1:5" ht="15.75" customHeight="1" x14ac:dyDescent="0.3">
      <c r="C30" s="95">
        <v>2131.1799999999998</v>
      </c>
      <c r="D30" s="88">
        <f t="shared" si="0"/>
        <v>9.0052384774916977E-3</v>
      </c>
      <c r="E30" s="53"/>
    </row>
    <row r="31" spans="1:5" ht="15.75" customHeight="1" x14ac:dyDescent="0.3">
      <c r="C31" s="95">
        <v>2076.86</v>
      </c>
      <c r="D31" s="88">
        <f t="shared" si="0"/>
        <v>-1.6712516265935444E-2</v>
      </c>
      <c r="E31" s="53"/>
    </row>
    <row r="32" spans="1:5" ht="15.75" customHeight="1" x14ac:dyDescent="0.3">
      <c r="C32" s="95">
        <v>2110.2600000000002</v>
      </c>
      <c r="D32" s="88">
        <f t="shared" si="0"/>
        <v>-8.9931655256148457E-4</v>
      </c>
      <c r="E32" s="53"/>
    </row>
    <row r="33" spans="1:7" ht="15.75" customHeight="1" x14ac:dyDescent="0.3">
      <c r="C33" s="95">
        <v>2156.5500000000002</v>
      </c>
      <c r="D33" s="88">
        <f t="shared" si="0"/>
        <v>2.1016641972351032E-2</v>
      </c>
      <c r="E33" s="53"/>
    </row>
    <row r="34" spans="1:7" ht="15.75" customHeight="1" x14ac:dyDescent="0.3">
      <c r="C34" s="95">
        <v>2118.44</v>
      </c>
      <c r="D34" s="88">
        <f t="shared" si="0"/>
        <v>2.9734970299354034E-3</v>
      </c>
      <c r="E34" s="53"/>
    </row>
    <row r="35" spans="1:7" ht="15.75" customHeight="1" x14ac:dyDescent="0.3">
      <c r="C35" s="95">
        <v>2104.09</v>
      </c>
      <c r="D35" s="88">
        <f t="shared" si="0"/>
        <v>-3.8204974576967607E-3</v>
      </c>
      <c r="E35" s="53"/>
    </row>
    <row r="36" spans="1:7" ht="15.75" customHeight="1" x14ac:dyDescent="0.3">
      <c r="C36" s="95">
        <v>2137.3000000000002</v>
      </c>
      <c r="D36" s="88">
        <f t="shared" si="0"/>
        <v>1.1902746927966364E-2</v>
      </c>
      <c r="E36" s="53"/>
    </row>
    <row r="37" spans="1:7" ht="15.75" customHeight="1" x14ac:dyDescent="0.3">
      <c r="C37" s="95">
        <v>2075.71</v>
      </c>
      <c r="D37" s="88">
        <f t="shared" si="0"/>
        <v>-1.7256982723132495E-2</v>
      </c>
      <c r="E37" s="53"/>
    </row>
    <row r="38" spans="1:7" ht="15.75" customHeight="1" x14ac:dyDescent="0.3">
      <c r="C38" s="95">
        <v>2124.5700000000002</v>
      </c>
      <c r="D38" s="88">
        <f t="shared" si="0"/>
        <v>5.8757399713421053E-3</v>
      </c>
      <c r="E38" s="53"/>
    </row>
    <row r="39" spans="1:7" ht="15.75" customHeight="1" x14ac:dyDescent="0.3">
      <c r="C39" s="95">
        <v>2112.73</v>
      </c>
      <c r="D39" s="88">
        <f t="shared" si="0"/>
        <v>2.7010270767894695E-4</v>
      </c>
      <c r="E39" s="53"/>
    </row>
    <row r="40" spans="1:7" ht="15.75" customHeight="1" x14ac:dyDescent="0.3">
      <c r="C40" s="95">
        <v>2116.23</v>
      </c>
      <c r="D40" s="88">
        <f t="shared" si="0"/>
        <v>1.9271745339307048E-3</v>
      </c>
      <c r="E40" s="53"/>
    </row>
    <row r="41" spans="1:7" ht="15.75" customHeight="1" x14ac:dyDescent="0.3">
      <c r="C41" s="95">
        <v>2102.13</v>
      </c>
      <c r="D41" s="88">
        <f t="shared" si="0"/>
        <v>-4.7484576803977626E-3</v>
      </c>
      <c r="E41" s="53"/>
    </row>
    <row r="42" spans="1:7" ht="15.75" customHeight="1" x14ac:dyDescent="0.3">
      <c r="C42" s="95">
        <v>2094.0300000000002</v>
      </c>
      <c r="D42" s="88">
        <f t="shared" si="0"/>
        <v>-8.5833953354375013E-3</v>
      </c>
      <c r="E42" s="53"/>
    </row>
    <row r="43" spans="1:7" ht="16.5" customHeight="1" x14ac:dyDescent="0.3">
      <c r="C43" s="96">
        <v>2073.3000000000002</v>
      </c>
      <c r="D43" s="89">
        <f t="shared" si="0"/>
        <v>-1.8397995037780064E-2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42243.19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2112.1595000000002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2112.1595000000002</v>
      </c>
      <c r="C49" s="93">
        <f>-IF(C46&lt;=80,10%,IF(C46&lt;250,7.5%,5%))</f>
        <v>-0.05</v>
      </c>
      <c r="D49" s="81">
        <f>IF(C46&lt;=80,C46*0.9,IF(C46&lt;250,C46*0.925,C46*0.95))</f>
        <v>2006.5515250000001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2217.7674750000001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8" zoomScale="60" zoomScaleNormal="40" zoomScalePageLayoutView="50" workbookViewId="0">
      <selection activeCell="C22" sqref="C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1" t="s">
        <v>45</v>
      </c>
      <c r="B1" s="321"/>
      <c r="C1" s="321"/>
      <c r="D1" s="321"/>
      <c r="E1" s="321"/>
      <c r="F1" s="321"/>
      <c r="G1" s="321"/>
      <c r="H1" s="321"/>
      <c r="I1" s="321"/>
    </row>
    <row r="2" spans="1:9" ht="18.75" customHeight="1" x14ac:dyDescent="0.25">
      <c r="A2" s="321"/>
      <c r="B2" s="321"/>
      <c r="C2" s="321"/>
      <c r="D2" s="321"/>
      <c r="E2" s="321"/>
      <c r="F2" s="321"/>
      <c r="G2" s="321"/>
      <c r="H2" s="321"/>
      <c r="I2" s="321"/>
    </row>
    <row r="3" spans="1:9" ht="18.75" customHeight="1" x14ac:dyDescent="0.25">
      <c r="A3" s="321"/>
      <c r="B3" s="321"/>
      <c r="C3" s="321"/>
      <c r="D3" s="321"/>
      <c r="E3" s="321"/>
      <c r="F3" s="321"/>
      <c r="G3" s="321"/>
      <c r="H3" s="321"/>
      <c r="I3" s="321"/>
    </row>
    <row r="4" spans="1:9" ht="18.75" customHeight="1" x14ac:dyDescent="0.25">
      <c r="A4" s="321"/>
      <c r="B4" s="321"/>
      <c r="C4" s="321"/>
      <c r="D4" s="321"/>
      <c r="E4" s="321"/>
      <c r="F4" s="321"/>
      <c r="G4" s="321"/>
      <c r="H4" s="321"/>
      <c r="I4" s="321"/>
    </row>
    <row r="5" spans="1:9" ht="18.75" customHeight="1" x14ac:dyDescent="0.25">
      <c r="A5" s="321"/>
      <c r="B5" s="321"/>
      <c r="C5" s="321"/>
      <c r="D5" s="321"/>
      <c r="E5" s="321"/>
      <c r="F5" s="321"/>
      <c r="G5" s="321"/>
      <c r="H5" s="321"/>
      <c r="I5" s="321"/>
    </row>
    <row r="6" spans="1:9" ht="18.75" customHeight="1" x14ac:dyDescent="0.25">
      <c r="A6" s="321"/>
      <c r="B6" s="321"/>
      <c r="C6" s="321"/>
      <c r="D6" s="321"/>
      <c r="E6" s="321"/>
      <c r="F6" s="321"/>
      <c r="G6" s="321"/>
      <c r="H6" s="321"/>
      <c r="I6" s="321"/>
    </row>
    <row r="7" spans="1:9" ht="18.75" customHeight="1" x14ac:dyDescent="0.25">
      <c r="A7" s="321"/>
      <c r="B7" s="321"/>
      <c r="C7" s="321"/>
      <c r="D7" s="321"/>
      <c r="E7" s="321"/>
      <c r="F7" s="321"/>
      <c r="G7" s="321"/>
      <c r="H7" s="321"/>
      <c r="I7" s="321"/>
    </row>
    <row r="8" spans="1:9" x14ac:dyDescent="0.25">
      <c r="A8" s="322" t="s">
        <v>46</v>
      </c>
      <c r="B8" s="322"/>
      <c r="C8" s="322"/>
      <c r="D8" s="322"/>
      <c r="E8" s="322"/>
      <c r="F8" s="322"/>
      <c r="G8" s="322"/>
      <c r="H8" s="322"/>
      <c r="I8" s="322"/>
    </row>
    <row r="9" spans="1:9" x14ac:dyDescent="0.25">
      <c r="A9" s="322"/>
      <c r="B9" s="322"/>
      <c r="C9" s="322"/>
      <c r="D9" s="322"/>
      <c r="E9" s="322"/>
      <c r="F9" s="322"/>
      <c r="G9" s="322"/>
      <c r="H9" s="322"/>
      <c r="I9" s="322"/>
    </row>
    <row r="10" spans="1:9" x14ac:dyDescent="0.25">
      <c r="A10" s="322"/>
      <c r="B10" s="322"/>
      <c r="C10" s="322"/>
      <c r="D10" s="322"/>
      <c r="E10" s="322"/>
      <c r="F10" s="322"/>
      <c r="G10" s="322"/>
      <c r="H10" s="322"/>
      <c r="I10" s="322"/>
    </row>
    <row r="11" spans="1:9" x14ac:dyDescent="0.25">
      <c r="A11" s="322"/>
      <c r="B11" s="322"/>
      <c r="C11" s="322"/>
      <c r="D11" s="322"/>
      <c r="E11" s="322"/>
      <c r="F11" s="322"/>
      <c r="G11" s="322"/>
      <c r="H11" s="322"/>
      <c r="I11" s="322"/>
    </row>
    <row r="12" spans="1:9" x14ac:dyDescent="0.25">
      <c r="A12" s="322"/>
      <c r="B12" s="322"/>
      <c r="C12" s="322"/>
      <c r="D12" s="322"/>
      <c r="E12" s="322"/>
      <c r="F12" s="322"/>
      <c r="G12" s="322"/>
      <c r="H12" s="322"/>
      <c r="I12" s="322"/>
    </row>
    <row r="13" spans="1:9" x14ac:dyDescent="0.25">
      <c r="A13" s="322"/>
      <c r="B13" s="322"/>
      <c r="C13" s="322"/>
      <c r="D13" s="322"/>
      <c r="E13" s="322"/>
      <c r="F13" s="322"/>
      <c r="G13" s="322"/>
      <c r="H13" s="322"/>
      <c r="I13" s="322"/>
    </row>
    <row r="14" spans="1:9" x14ac:dyDescent="0.25">
      <c r="A14" s="322"/>
      <c r="B14" s="322"/>
      <c r="C14" s="322"/>
      <c r="D14" s="322"/>
      <c r="E14" s="322"/>
      <c r="F14" s="322"/>
      <c r="G14" s="322"/>
      <c r="H14" s="322"/>
      <c r="I14" s="322"/>
    </row>
    <row r="15" spans="1:9" ht="19.5" customHeight="1" x14ac:dyDescent="0.3">
      <c r="A15" s="98"/>
    </row>
    <row r="16" spans="1:9" ht="19.5" customHeight="1" x14ac:dyDescent="0.3">
      <c r="A16" s="294" t="s">
        <v>31</v>
      </c>
      <c r="B16" s="295"/>
      <c r="C16" s="295"/>
      <c r="D16" s="295"/>
      <c r="E16" s="295"/>
      <c r="F16" s="295"/>
      <c r="G16" s="295"/>
      <c r="H16" s="296"/>
    </row>
    <row r="17" spans="1:14" ht="20.25" customHeight="1" x14ac:dyDescent="0.25">
      <c r="A17" s="297" t="s">
        <v>47</v>
      </c>
      <c r="B17" s="297"/>
      <c r="C17" s="297"/>
      <c r="D17" s="297"/>
      <c r="E17" s="297"/>
      <c r="F17" s="297"/>
      <c r="G17" s="297"/>
      <c r="H17" s="297"/>
    </row>
    <row r="18" spans="1:14" ht="26.25" customHeight="1" x14ac:dyDescent="0.4">
      <c r="A18" s="100" t="s">
        <v>33</v>
      </c>
      <c r="B18" s="293" t="s">
        <v>5</v>
      </c>
      <c r="C18" s="293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8" t="s">
        <v>125</v>
      </c>
      <c r="C20" s="29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8" t="s">
        <v>11</v>
      </c>
      <c r="C21" s="298"/>
      <c r="D21" s="298"/>
      <c r="E21" s="298"/>
      <c r="F21" s="298"/>
      <c r="G21" s="298"/>
      <c r="H21" s="298"/>
      <c r="I21" s="104"/>
    </row>
    <row r="22" spans="1:14" ht="26.25" customHeight="1" x14ac:dyDescent="0.4">
      <c r="A22" s="100" t="s">
        <v>37</v>
      </c>
      <c r="B22" s="105">
        <v>42514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42515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3" t="s">
        <v>126</v>
      </c>
      <c r="C26" s="293"/>
    </row>
    <row r="27" spans="1:14" ht="26.25" customHeight="1" x14ac:dyDescent="0.4">
      <c r="A27" s="109" t="s">
        <v>48</v>
      </c>
      <c r="B27" s="299" t="s">
        <v>127</v>
      </c>
      <c r="C27" s="29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6" t="s">
        <v>59</v>
      </c>
      <c r="E36" s="307"/>
      <c r="F36" s="306" t="s">
        <v>60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1128612</v>
      </c>
      <c r="E38" s="133">
        <f>IF(ISBLANK(D38),"-",$D$48/$D$45*D38)</f>
        <v>864510.0564292483</v>
      </c>
      <c r="F38" s="132">
        <v>1325266</v>
      </c>
      <c r="G38" s="134">
        <f>IF(ISBLANK(F38),"-",$D$48/$F$45*F38)</f>
        <v>849073.59996965737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4</v>
      </c>
      <c r="C39" s="136">
        <v>2</v>
      </c>
      <c r="D39" s="137">
        <v>1126874</v>
      </c>
      <c r="E39" s="138">
        <f>IF(ISBLANK(D39),"-",$D$48/$D$45*D39)</f>
        <v>863178.75880165445</v>
      </c>
      <c r="F39" s="137">
        <v>1328131</v>
      </c>
      <c r="G39" s="139">
        <f>IF(ISBLANK(F39),"-",$D$48/$F$45*F39)</f>
        <v>850909.15288047912</v>
      </c>
      <c r="I39" s="310">
        <f>ABS((F43/D43*D42)-F42)/D42</f>
        <v>1.8583067074038229E-2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50</v>
      </c>
      <c r="C40" s="136">
        <v>3</v>
      </c>
      <c r="D40" s="137">
        <v>1125852</v>
      </c>
      <c r="E40" s="138">
        <f>IF(ISBLANK(D40),"-",$D$48/$D$45*D40)</f>
        <v>862395.91290096345</v>
      </c>
      <c r="F40" s="137">
        <v>1326469</v>
      </c>
      <c r="G40" s="139">
        <f>IF(ISBLANK(F40),"-",$D$48/$F$45*F40)</f>
        <v>849844.33998770919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1127112.6666666667</v>
      </c>
      <c r="E42" s="148">
        <f>AVERAGE(E38:E41)</f>
        <v>863361.5760439554</v>
      </c>
      <c r="F42" s="147">
        <f>AVERAGE(F38:F41)</f>
        <v>1326622</v>
      </c>
      <c r="G42" s="149">
        <f>AVERAGE(G38:G41)</f>
        <v>849942.36427928193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10.89</v>
      </c>
      <c r="E43" s="140"/>
      <c r="F43" s="152">
        <v>13.02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10.89</v>
      </c>
      <c r="E44" s="155"/>
      <c r="F44" s="154">
        <f>F43*$B$34</f>
        <v>13.02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41666.666666666672</v>
      </c>
      <c r="C45" s="153" t="s">
        <v>77</v>
      </c>
      <c r="D45" s="157">
        <f>D44*$B$30/100</f>
        <v>10.879110000000001</v>
      </c>
      <c r="E45" s="158"/>
      <c r="F45" s="157">
        <f>F44*$B$30/100</f>
        <v>13.00698</v>
      </c>
      <c r="H45" s="150"/>
    </row>
    <row r="46" spans="1:14" ht="19.5" customHeight="1" x14ac:dyDescent="0.3">
      <c r="A46" s="311" t="s">
        <v>78</v>
      </c>
      <c r="B46" s="312"/>
      <c r="C46" s="153" t="s">
        <v>79</v>
      </c>
      <c r="D46" s="159">
        <f>D45/$B$45</f>
        <v>2.6109863999999996E-4</v>
      </c>
      <c r="E46" s="160"/>
      <c r="F46" s="161">
        <f>F45/$B$45</f>
        <v>3.1216751999999995E-4</v>
      </c>
      <c r="H46" s="150"/>
    </row>
    <row r="47" spans="1:14" ht="27" customHeight="1" x14ac:dyDescent="0.4">
      <c r="A47" s="313"/>
      <c r="B47" s="314"/>
      <c r="C47" s="162" t="s">
        <v>80</v>
      </c>
      <c r="D47" s="163">
        <v>2.0000000000000001E-4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8.3333333333333339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8.3333333333333339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856651.97016161855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8.6429618378857098E-3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Calcium Carbonate 600 mg Cholecalciferol 400 U.I </v>
      </c>
    </row>
    <row r="56" spans="1:12" ht="26.25" customHeight="1" x14ac:dyDescent="0.4">
      <c r="A56" s="177" t="s">
        <v>87</v>
      </c>
      <c r="B56" s="178">
        <v>0.01</v>
      </c>
      <c r="C56" s="99" t="str">
        <f>B20</f>
        <v xml:space="preserve">Cholecalciferol </v>
      </c>
      <c r="H56" s="179"/>
    </row>
    <row r="57" spans="1:12" ht="18.75" x14ac:dyDescent="0.3">
      <c r="A57" s="176" t="s">
        <v>88</v>
      </c>
      <c r="B57" s="268">
        <f>Uniformity!C46</f>
        <v>2112.1595000000002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5" t="s">
        <v>94</v>
      </c>
      <c r="D60" s="318">
        <v>2112.36</v>
      </c>
      <c r="E60" s="182">
        <v>1</v>
      </c>
      <c r="F60" s="183">
        <v>929717</v>
      </c>
      <c r="G60" s="269">
        <f>IF(ISBLANK(F60),"-",(F60/$D$50*$D$47*$B$68)*($B$57/$D$60))</f>
        <v>1.0851883681310962E-2</v>
      </c>
      <c r="H60" s="184">
        <f t="shared" ref="H60:H71" si="0">IF(ISBLANK(F60),"-",G60/$B$56)</f>
        <v>1.0851883681310961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6"/>
      <c r="D61" s="319"/>
      <c r="E61" s="185">
        <v>2</v>
      </c>
      <c r="F61" s="137">
        <v>943841</v>
      </c>
      <c r="G61" s="270">
        <f>IF(ISBLANK(F61),"-",(F61/$D$50*$D$47*$B$68)*($B$57/$D$60))</f>
        <v>1.1016742455663626E-2</v>
      </c>
      <c r="H61" s="186">
        <f t="shared" si="0"/>
        <v>1.1016742455663626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5">
        <v>3</v>
      </c>
      <c r="F62" s="187">
        <v>944610</v>
      </c>
      <c r="G62" s="270">
        <f>IF(ISBLANK(F62),"-",(F62/$D$50*$D$47*$B$68)*($B$57/$D$60))</f>
        <v>1.1025718411304888E-2</v>
      </c>
      <c r="H62" s="186">
        <f t="shared" si="0"/>
        <v>1.1025718411304888</v>
      </c>
      <c r="L62" s="112"/>
    </row>
    <row r="63" spans="1:12" ht="27" customHeight="1" x14ac:dyDescent="0.4">
      <c r="A63" s="124" t="s">
        <v>97</v>
      </c>
      <c r="B63" s="125">
        <v>1</v>
      </c>
      <c r="C63" s="317"/>
      <c r="D63" s="320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2110.0700000000002</v>
      </c>
      <c r="E64" s="182">
        <v>1</v>
      </c>
      <c r="F64" s="183">
        <v>957424</v>
      </c>
      <c r="G64" s="271">
        <f>IF(ISBLANK(F64),"-",(F64/$D$50*$D$47*$B$68)*($B$57/$D$64))</f>
        <v>1.1187414772176612E-2</v>
      </c>
      <c r="H64" s="190">
        <f t="shared" si="0"/>
        <v>1.1187414772176612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5">
        <v>2</v>
      </c>
      <c r="F65" s="137">
        <v>962053</v>
      </c>
      <c r="G65" s="272">
        <f>IF(ISBLANK(F65),"-",(F65/$D$50*$D$47*$B$68)*($B$57/$D$64))</f>
        <v>1.1241504227820512E-2</v>
      </c>
      <c r="H65" s="191">
        <f t="shared" si="0"/>
        <v>1.1241504227820511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5">
        <v>3</v>
      </c>
      <c r="F66" s="137">
        <v>960781</v>
      </c>
      <c r="G66" s="272">
        <f>IF(ISBLANK(F66),"-",(F66/$D$50*$D$47*$B$68)*($B$57/$D$64))</f>
        <v>1.1226641020307217E-2</v>
      </c>
      <c r="H66" s="191">
        <f t="shared" si="0"/>
        <v>1.1226641020307218</v>
      </c>
    </row>
    <row r="67" spans="1:8" ht="27" customHeight="1" x14ac:dyDescent="0.4">
      <c r="A67" s="124" t="s">
        <v>102</v>
      </c>
      <c r="B67" s="125">
        <v>1</v>
      </c>
      <c r="C67" s="317"/>
      <c r="D67" s="320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</v>
      </c>
      <c r="C68" s="315" t="s">
        <v>104</v>
      </c>
      <c r="D68" s="318">
        <v>2113.31</v>
      </c>
      <c r="E68" s="182">
        <v>1</v>
      </c>
      <c r="F68" s="183">
        <v>971004</v>
      </c>
      <c r="G68" s="271">
        <f>IF(ISBLANK(F68),"-",(F68/$D$50*$D$47*$B$68)*($B$57/$D$68))</f>
        <v>1.132870071833462E-2</v>
      </c>
      <c r="H68" s="186">
        <f t="shared" si="0"/>
        <v>1.1328700718334619</v>
      </c>
    </row>
    <row r="69" spans="1:8" ht="27" customHeight="1" x14ac:dyDescent="0.4">
      <c r="A69" s="172" t="s">
        <v>105</v>
      </c>
      <c r="B69" s="194">
        <f>(D47*B68)/B56*B57</f>
        <v>2112.1595000000002</v>
      </c>
      <c r="C69" s="316"/>
      <c r="D69" s="319"/>
      <c r="E69" s="185">
        <v>2</v>
      </c>
      <c r="F69" s="137">
        <v>972791</v>
      </c>
      <c r="G69" s="272">
        <f>IF(ISBLANK(F69),"-",(F69/$D$50*$D$47*$B$68)*($B$57/$D$68))</f>
        <v>1.1349549641906166E-2</v>
      </c>
      <c r="H69" s="186">
        <f t="shared" si="0"/>
        <v>1.1349549641906165</v>
      </c>
    </row>
    <row r="70" spans="1:8" ht="26.25" customHeight="1" x14ac:dyDescent="0.4">
      <c r="A70" s="328" t="s">
        <v>78</v>
      </c>
      <c r="B70" s="329"/>
      <c r="C70" s="316"/>
      <c r="D70" s="319"/>
      <c r="E70" s="185">
        <v>3</v>
      </c>
      <c r="F70" s="137">
        <v>972414</v>
      </c>
      <c r="G70" s="272">
        <f>IF(ISBLANK(F70),"-",(F70/$D$50*$D$47*$B$68)*($B$57/$D$68))</f>
        <v>1.1345151184051395E-2</v>
      </c>
      <c r="H70" s="186">
        <f t="shared" si="0"/>
        <v>1.1345151184051394</v>
      </c>
    </row>
    <row r="71" spans="1:8" ht="27" customHeight="1" x14ac:dyDescent="0.4">
      <c r="A71" s="330"/>
      <c r="B71" s="331"/>
      <c r="C71" s="327"/>
      <c r="D71" s="320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1.1174811790319556E-2</v>
      </c>
      <c r="H72" s="199">
        <f>AVERAGE(H60:H71)</f>
        <v>1.1174811790319557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1.556471774355762E-2</v>
      </c>
      <c r="H73" s="274">
        <f>STDEV(H60:H71)/H72</f>
        <v>1.5564717743557617E-2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4.75" customHeight="1" x14ac:dyDescent="0.4">
      <c r="A76" s="108" t="s">
        <v>106</v>
      </c>
      <c r="B76" s="204" t="s">
        <v>107</v>
      </c>
      <c r="C76" s="323" t="str">
        <f>B20</f>
        <v xml:space="preserve">Cholecalciferol </v>
      </c>
      <c r="D76" s="323"/>
      <c r="E76" s="205" t="s">
        <v>108</v>
      </c>
      <c r="F76" s="205"/>
      <c r="G76" s="206">
        <f>H72</f>
        <v>1.1174811790319557</v>
      </c>
      <c r="H76" s="207"/>
    </row>
    <row r="77" spans="1:8" ht="18.75" hidden="1" x14ac:dyDescent="0.3">
      <c r="A77" s="107" t="s">
        <v>109</v>
      </c>
      <c r="B77" s="107" t="s">
        <v>110</v>
      </c>
    </row>
    <row r="78" spans="1:8" ht="18.75" hidden="1" x14ac:dyDescent="0.3">
      <c r="A78" s="107"/>
      <c r="B78" s="107"/>
    </row>
    <row r="79" spans="1:8" ht="26.25" hidden="1" customHeight="1" x14ac:dyDescent="0.4">
      <c r="A79" s="108" t="s">
        <v>4</v>
      </c>
      <c r="B79" s="309" t="str">
        <f>B26</f>
        <v>Cholecalciferol</v>
      </c>
      <c r="C79" s="309"/>
    </row>
    <row r="80" spans="1:8" ht="26.25" hidden="1" customHeight="1" x14ac:dyDescent="0.4">
      <c r="A80" s="109" t="s">
        <v>48</v>
      </c>
      <c r="B80" s="309" t="str">
        <f>B27</f>
        <v>C70-1</v>
      </c>
      <c r="C80" s="309"/>
    </row>
    <row r="81" spans="1:12" ht="27" hidden="1" customHeight="1" x14ac:dyDescent="0.4">
      <c r="A81" s="109" t="s">
        <v>6</v>
      </c>
      <c r="B81" s="208">
        <f>B28</f>
        <v>99.9</v>
      </c>
    </row>
    <row r="82" spans="1:12" s="14" customFormat="1" ht="27" hidden="1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hidden="1" customHeight="1" x14ac:dyDescent="0.3">
      <c r="A83" s="109" t="s">
        <v>51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hidden="1" customHeight="1" x14ac:dyDescent="0.4">
      <c r="A84" s="109" t="s">
        <v>52</v>
      </c>
      <c r="B84" s="116">
        <v>154.46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13.5" hidden="1" customHeight="1" x14ac:dyDescent="0.4">
      <c r="A85" s="109" t="s">
        <v>54</v>
      </c>
      <c r="B85" s="116">
        <v>165.23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hidden="1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hidden="1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hidden="1" customHeight="1" x14ac:dyDescent="0.3">
      <c r="A88" s="107"/>
      <c r="B88" s="107"/>
    </row>
    <row r="89" spans="1:12" ht="27" hidden="1" customHeight="1" x14ac:dyDescent="0.4">
      <c r="A89" s="122" t="s">
        <v>58</v>
      </c>
      <c r="B89" s="123">
        <v>25</v>
      </c>
      <c r="D89" s="209" t="s">
        <v>59</v>
      </c>
      <c r="E89" s="210"/>
      <c r="F89" s="306" t="s">
        <v>60</v>
      </c>
      <c r="G89" s="308"/>
    </row>
    <row r="90" spans="1:12" ht="27" hidden="1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hidden="1" customHeight="1" x14ac:dyDescent="0.4">
      <c r="A91" s="124" t="s">
        <v>66</v>
      </c>
      <c r="B91" s="125">
        <v>200</v>
      </c>
      <c r="C91" s="213">
        <v>1</v>
      </c>
      <c r="D91" s="132">
        <v>52522362</v>
      </c>
      <c r="E91" s="133">
        <f>IF(ISBLANK(D91),"-",$D$101/$D$98*D91)</f>
        <v>3109.564011060922</v>
      </c>
      <c r="F91" s="132">
        <v>53289728</v>
      </c>
      <c r="G91" s="134">
        <f>IF(ISBLANK(F91),"-",$D$101/$F$98*F91)</f>
        <v>3074.2237841205251</v>
      </c>
      <c r="I91" s="135"/>
    </row>
    <row r="92" spans="1:12" ht="26.25" hidden="1" customHeight="1" x14ac:dyDescent="0.4">
      <c r="A92" s="124" t="s">
        <v>67</v>
      </c>
      <c r="B92" s="125">
        <v>1</v>
      </c>
      <c r="C92" s="197">
        <v>2</v>
      </c>
      <c r="D92" s="137">
        <v>52553125</v>
      </c>
      <c r="E92" s="138">
        <f>IF(ISBLANK(D92),"-",$D$101/$D$98*D92)</f>
        <v>3111.3853213377192</v>
      </c>
      <c r="F92" s="137">
        <v>53121237</v>
      </c>
      <c r="G92" s="139">
        <f>IF(ISBLANK(F92),"-",$D$101/$F$98*F92)</f>
        <v>3064.5037300115937</v>
      </c>
      <c r="I92" s="310">
        <f>ABS((F96/D96*D95)-F95)/D95</f>
        <v>9.1663928758481394E-3</v>
      </c>
    </row>
    <row r="93" spans="1:12" ht="26.25" hidden="1" customHeight="1" x14ac:dyDescent="0.4">
      <c r="A93" s="124" t="s">
        <v>68</v>
      </c>
      <c r="B93" s="125">
        <v>1</v>
      </c>
      <c r="C93" s="197">
        <v>3</v>
      </c>
      <c r="D93" s="137">
        <v>52565096</v>
      </c>
      <c r="E93" s="138">
        <f>IF(ISBLANK(D93),"-",$D$101/$D$98*D93)</f>
        <v>3112.0940592801676</v>
      </c>
      <c r="F93" s="137">
        <v>54057613</v>
      </c>
      <c r="G93" s="139">
        <f>IF(ISBLANK(F93),"-",$D$101/$F$98*F93)</f>
        <v>3118.5221961985412</v>
      </c>
      <c r="I93" s="310"/>
    </row>
    <row r="94" spans="1:12" ht="27" hidden="1" customHeight="1" x14ac:dyDescent="0.4">
      <c r="A94" s="124" t="s">
        <v>69</v>
      </c>
      <c r="B94" s="125">
        <v>1</v>
      </c>
      <c r="C94" s="214">
        <v>4</v>
      </c>
      <c r="D94" s="142">
        <v>52522362</v>
      </c>
      <c r="E94" s="143">
        <f>IF(ISBLANK(D94),"-",$D$101/$D$98*D94)</f>
        <v>3109.564011060922</v>
      </c>
      <c r="F94" s="215">
        <v>53289728</v>
      </c>
      <c r="G94" s="144">
        <f>IF(ISBLANK(F94),"-",$D$101/$F$98*F94)</f>
        <v>3074.2237841205251</v>
      </c>
      <c r="I94" s="145"/>
    </row>
    <row r="95" spans="1:12" ht="27" hidden="1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52540736.25</v>
      </c>
      <c r="E95" s="148">
        <f>AVERAGE(E91:E94)</f>
        <v>3110.6518506849325</v>
      </c>
      <c r="F95" s="218">
        <f>AVERAGE(F91:F94)</f>
        <v>53439576.5</v>
      </c>
      <c r="G95" s="219">
        <f>AVERAGE(G91:G94)</f>
        <v>3082.8683736127959</v>
      </c>
    </row>
    <row r="96" spans="1:12" ht="26.25" hidden="1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hidden="1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hidden="1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23.459148851903411</v>
      </c>
      <c r="E98" s="158"/>
      <c r="F98" s="157">
        <f>F97*$B$83/100</f>
        <v>24.075511839254379</v>
      </c>
    </row>
    <row r="99" spans="1:10" ht="19.5" hidden="1" customHeight="1" x14ac:dyDescent="0.3">
      <c r="A99" s="311" t="s">
        <v>78</v>
      </c>
      <c r="B99" s="325"/>
      <c r="C99" s="222" t="s">
        <v>116</v>
      </c>
      <c r="D99" s="226">
        <f>D98/$B$98</f>
        <v>1.8767319081522727E-2</v>
      </c>
      <c r="E99" s="158"/>
      <c r="F99" s="161">
        <f>F98/$B$98</f>
        <v>1.9260409471403502E-2</v>
      </c>
      <c r="G99" s="227"/>
      <c r="H99" s="150"/>
    </row>
    <row r="100" spans="1:10" ht="19.5" hidden="1" customHeight="1" x14ac:dyDescent="0.3">
      <c r="A100" s="313"/>
      <c r="B100" s="326"/>
      <c r="C100" s="222" t="s">
        <v>80</v>
      </c>
      <c r="D100" s="228">
        <f>$B$56/$B$116</f>
        <v>1.111111111111111E-6</v>
      </c>
      <c r="F100" s="166"/>
      <c r="G100" s="229"/>
      <c r="H100" s="150"/>
    </row>
    <row r="101" spans="1:10" ht="18.75" hidden="1" x14ac:dyDescent="0.3">
      <c r="C101" s="222" t="s">
        <v>81</v>
      </c>
      <c r="D101" s="223">
        <f>D100*$B$98</f>
        <v>1.3888888888888887E-3</v>
      </c>
      <c r="F101" s="166"/>
      <c r="G101" s="227"/>
      <c r="H101" s="150"/>
    </row>
    <row r="102" spans="1:10" ht="19.5" hidden="1" customHeight="1" x14ac:dyDescent="0.3">
      <c r="C102" s="230" t="s">
        <v>82</v>
      </c>
      <c r="D102" s="231">
        <f>D101/B34</f>
        <v>1.3888888888888887E-3</v>
      </c>
      <c r="F102" s="170"/>
      <c r="G102" s="227"/>
      <c r="H102" s="150"/>
      <c r="J102" s="232"/>
    </row>
    <row r="103" spans="1:10" ht="18.75" hidden="1" x14ac:dyDescent="0.3">
      <c r="C103" s="233" t="s">
        <v>117</v>
      </c>
      <c r="D103" s="234">
        <f>AVERAGE(E91:E94,G91:G94)</f>
        <v>3096.7601121488642</v>
      </c>
      <c r="F103" s="170"/>
      <c r="G103" s="235"/>
      <c r="H103" s="150"/>
      <c r="J103" s="236"/>
    </row>
    <row r="104" spans="1:10" ht="18.75" hidden="1" x14ac:dyDescent="0.3">
      <c r="C104" s="200" t="s">
        <v>84</v>
      </c>
      <c r="D104" s="237">
        <f>STDEV(E91:E94,G91:G94)/D103</f>
        <v>7.0184870796218372E-3</v>
      </c>
      <c r="F104" s="170"/>
      <c r="G104" s="227"/>
      <c r="H104" s="150"/>
      <c r="J104" s="236"/>
    </row>
    <row r="105" spans="1:10" ht="19.5" hidden="1" customHeight="1" x14ac:dyDescent="0.3">
      <c r="C105" s="202" t="s">
        <v>20</v>
      </c>
      <c r="D105" s="238">
        <f>COUNT(E91:E94,G91:G94)</f>
        <v>8</v>
      </c>
      <c r="F105" s="170"/>
      <c r="G105" s="227"/>
      <c r="H105" s="150"/>
      <c r="J105" s="236"/>
    </row>
    <row r="106" spans="1:10" ht="19.5" hidden="1" customHeight="1" x14ac:dyDescent="0.3">
      <c r="A106" s="174"/>
      <c r="B106" s="174"/>
      <c r="C106" s="174"/>
      <c r="D106" s="174"/>
      <c r="E106" s="174"/>
    </row>
    <row r="107" spans="1:10" ht="26.25" hidden="1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hidden="1" customHeight="1" x14ac:dyDescent="0.4">
      <c r="A108" s="124" t="s">
        <v>122</v>
      </c>
      <c r="B108" s="125">
        <v>5</v>
      </c>
      <c r="C108" s="243">
        <v>1</v>
      </c>
      <c r="D108" s="244">
        <v>87619284</v>
      </c>
      <c r="E108" s="275">
        <f t="shared" ref="E108:E113" si="1">IF(ISBLANK(D108),"-",D108/$D$103*$D$100*$B$116)</f>
        <v>282.93855780517771</v>
      </c>
      <c r="F108" s="245">
        <f t="shared" ref="F108:F113" si="2">IF(ISBLANK(D108), "-", E108/$B$56)</f>
        <v>28293.85578051777</v>
      </c>
    </row>
    <row r="109" spans="1:10" ht="26.25" hidden="1" customHeight="1" x14ac:dyDescent="0.4">
      <c r="A109" s="124" t="s">
        <v>95</v>
      </c>
      <c r="B109" s="125">
        <v>50</v>
      </c>
      <c r="C109" s="243">
        <v>2</v>
      </c>
      <c r="D109" s="244">
        <v>87231228</v>
      </c>
      <c r="E109" s="276">
        <f t="shared" si="1"/>
        <v>281.68545460716882</v>
      </c>
      <c r="F109" s="246">
        <f t="shared" si="2"/>
        <v>28168.545460716883</v>
      </c>
    </row>
    <row r="110" spans="1:10" ht="26.25" hidden="1" customHeight="1" x14ac:dyDescent="0.4">
      <c r="A110" s="124" t="s">
        <v>96</v>
      </c>
      <c r="B110" s="125">
        <v>1</v>
      </c>
      <c r="C110" s="243">
        <v>3</v>
      </c>
      <c r="D110" s="244">
        <v>87224653</v>
      </c>
      <c r="E110" s="276">
        <f t="shared" si="1"/>
        <v>281.66422273979163</v>
      </c>
      <c r="F110" s="246">
        <f t="shared" si="2"/>
        <v>28166.422273979162</v>
      </c>
    </row>
    <row r="111" spans="1:10" ht="26.25" hidden="1" customHeight="1" x14ac:dyDescent="0.4">
      <c r="A111" s="124" t="s">
        <v>97</v>
      </c>
      <c r="B111" s="125">
        <v>1</v>
      </c>
      <c r="C111" s="243">
        <v>4</v>
      </c>
      <c r="D111" s="244">
        <v>86491264</v>
      </c>
      <c r="E111" s="276">
        <f t="shared" si="1"/>
        <v>279.29597665859586</v>
      </c>
      <c r="F111" s="246">
        <f t="shared" si="2"/>
        <v>27929.597665859586</v>
      </c>
    </row>
    <row r="112" spans="1:10" ht="26.25" hidden="1" customHeight="1" x14ac:dyDescent="0.4">
      <c r="A112" s="124" t="s">
        <v>98</v>
      </c>
      <c r="B112" s="125">
        <v>1</v>
      </c>
      <c r="C112" s="243">
        <v>5</v>
      </c>
      <c r="D112" s="244">
        <v>88080316</v>
      </c>
      <c r="E112" s="276">
        <f t="shared" si="1"/>
        <v>284.42731374139419</v>
      </c>
      <c r="F112" s="246">
        <f t="shared" si="2"/>
        <v>28442.731374139417</v>
      </c>
    </row>
    <row r="113" spans="1:10" ht="26.25" hidden="1" customHeight="1" x14ac:dyDescent="0.4">
      <c r="A113" s="124" t="s">
        <v>100</v>
      </c>
      <c r="B113" s="125">
        <v>1</v>
      </c>
      <c r="C113" s="247">
        <v>6</v>
      </c>
      <c r="D113" s="248">
        <v>87568449</v>
      </c>
      <c r="E113" s="277">
        <f t="shared" si="1"/>
        <v>282.77440237124347</v>
      </c>
      <c r="F113" s="249">
        <f t="shared" si="2"/>
        <v>28277.440237124345</v>
      </c>
    </row>
    <row r="114" spans="1:10" ht="26.25" hidden="1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hidden="1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282.13098798722859</v>
      </c>
      <c r="F115" s="252">
        <f>AVERAGE(F108:F113)</f>
        <v>28213.098798722858</v>
      </c>
    </row>
    <row r="116" spans="1:10" ht="27" hidden="1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>
        <f>STDEV(E108:E113)/E115</f>
        <v>6.0966490078913109E-3</v>
      </c>
      <c r="F116" s="254">
        <f>STDEV(F108:F113)/F115</f>
        <v>6.0966490078912866E-3</v>
      </c>
      <c r="I116" s="98"/>
    </row>
    <row r="117" spans="1:10" ht="27" hidden="1" customHeight="1" x14ac:dyDescent="0.4">
      <c r="A117" s="311" t="s">
        <v>78</v>
      </c>
      <c r="B117" s="312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hidden="1" customHeight="1" x14ac:dyDescent="0.3">
      <c r="A118" s="313"/>
      <c r="B118" s="314"/>
      <c r="C118" s="98"/>
      <c r="D118" s="98"/>
      <c r="E118" s="98"/>
      <c r="F118" s="197"/>
      <c r="G118" s="98"/>
      <c r="H118" s="98"/>
      <c r="I118" s="98"/>
    </row>
    <row r="119" spans="1:10" ht="18.75" hidden="1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hidden="1" customHeight="1" x14ac:dyDescent="0.4">
      <c r="A120" s="108" t="s">
        <v>106</v>
      </c>
      <c r="B120" s="204" t="s">
        <v>123</v>
      </c>
      <c r="C120" s="323" t="str">
        <f>B20</f>
        <v xml:space="preserve">Cholecalciferol </v>
      </c>
      <c r="D120" s="323"/>
      <c r="E120" s="205" t="s">
        <v>124</v>
      </c>
      <c r="F120" s="205"/>
      <c r="G120" s="206">
        <f>F115</f>
        <v>28213.098798722858</v>
      </c>
      <c r="H120" s="98"/>
      <c r="I120" s="98"/>
    </row>
    <row r="121" spans="1:10" ht="19.5" hidden="1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hidden="1" x14ac:dyDescent="0.3">
      <c r="B122" s="324" t="s">
        <v>26</v>
      </c>
      <c r="C122" s="324"/>
      <c r="E122" s="211" t="s">
        <v>27</v>
      </c>
      <c r="F122" s="260"/>
      <c r="G122" s="324" t="s">
        <v>28</v>
      </c>
      <c r="H122" s="324"/>
    </row>
    <row r="123" spans="1:10" ht="69.7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7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G73">
    <cfRule type="cellIs" dxfId="13" priority="3" operator="greaterThan">
      <formula>0.02</formula>
    </cfRule>
  </conditionalFormatting>
  <conditionalFormatting sqref="H73">
    <cfRule type="cellIs" dxfId="12" priority="4" operator="greaterThan">
      <formula>0.02</formula>
    </cfRule>
  </conditionalFormatting>
  <conditionalFormatting sqref="D104">
    <cfRule type="cellIs" dxfId="11" priority="5" operator="greaterThan">
      <formula>0.02</formula>
    </cfRule>
  </conditionalFormatting>
  <conditionalFormatting sqref="I39">
    <cfRule type="cellIs" dxfId="10" priority="6" operator="lessThanOrEqual">
      <formula>0.02</formula>
    </cfRule>
  </conditionalFormatting>
  <conditionalFormatting sqref="I39">
    <cfRule type="cellIs" dxfId="9" priority="7" operator="greaterThan">
      <formula>0.02</formula>
    </cfRule>
  </conditionalFormatting>
  <conditionalFormatting sqref="I92">
    <cfRule type="cellIs" dxfId="8" priority="8" operator="lessThanOrEqual">
      <formula>0.02</formula>
    </cfRule>
  </conditionalFormatting>
  <conditionalFormatting sqref="I92">
    <cfRule type="cellIs" dxfId="7" priority="9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30" zoomScale="55" zoomScaleNormal="75" zoomScaleSheetLayoutView="55" workbookViewId="0">
      <selection activeCell="C56" sqref="C56"/>
    </sheetView>
  </sheetViews>
  <sheetFormatPr defaultRowHeight="16.5" x14ac:dyDescent="0.3"/>
  <cols>
    <col min="1" max="1" width="100.42578125" style="335" customWidth="1"/>
    <col min="2" max="2" width="32.28515625" style="335" customWidth="1"/>
    <col min="3" max="3" width="33.28515625" style="335" customWidth="1"/>
    <col min="4" max="4" width="30.5703125" style="335" customWidth="1"/>
    <col min="5" max="5" width="33.5703125" style="335" customWidth="1"/>
    <col min="6" max="6" width="39.85546875" style="335" customWidth="1"/>
    <col min="7" max="7" width="31.7109375" style="335" customWidth="1"/>
    <col min="8" max="8" width="31.140625" style="335" customWidth="1"/>
    <col min="9" max="9" width="32.28515625" style="333" customWidth="1"/>
    <col min="10" max="10" width="22.28515625" style="333" customWidth="1"/>
    <col min="11" max="11" width="19.5703125" style="333" customWidth="1"/>
    <col min="12" max="12" width="21.140625" style="333" customWidth="1"/>
    <col min="13" max="13" width="9.140625" style="333" customWidth="1"/>
    <col min="14" max="16384" width="9.140625" style="340"/>
  </cols>
  <sheetData>
    <row r="1" spans="1:9" ht="15" x14ac:dyDescent="0.3">
      <c r="A1" s="332" t="s">
        <v>130</v>
      </c>
      <c r="B1" s="332"/>
      <c r="C1" s="332"/>
      <c r="D1" s="332"/>
      <c r="E1" s="332"/>
      <c r="F1" s="332"/>
      <c r="G1" s="332"/>
      <c r="H1" s="332"/>
      <c r="I1" s="332"/>
    </row>
    <row r="2" spans="1:9" ht="15" x14ac:dyDescent="0.3">
      <c r="A2" s="332"/>
      <c r="B2" s="332"/>
      <c r="C2" s="332"/>
      <c r="D2" s="332"/>
      <c r="E2" s="332"/>
      <c r="F2" s="332"/>
      <c r="G2" s="332"/>
      <c r="H2" s="332"/>
      <c r="I2" s="332"/>
    </row>
    <row r="3" spans="1:9" ht="15" x14ac:dyDescent="0.3">
      <c r="A3" s="332"/>
      <c r="B3" s="332"/>
      <c r="C3" s="332"/>
      <c r="D3" s="332"/>
      <c r="E3" s="332"/>
      <c r="F3" s="332"/>
      <c r="G3" s="332"/>
      <c r="H3" s="332"/>
      <c r="I3" s="332"/>
    </row>
    <row r="4" spans="1:9" ht="15" x14ac:dyDescent="0.3">
      <c r="A4" s="332"/>
      <c r="B4" s="332"/>
      <c r="C4" s="332"/>
      <c r="D4" s="332"/>
      <c r="E4" s="332"/>
      <c r="F4" s="332"/>
      <c r="G4" s="332"/>
      <c r="H4" s="332"/>
      <c r="I4" s="332"/>
    </row>
    <row r="5" spans="1:9" ht="15" x14ac:dyDescent="0.3">
      <c r="A5" s="332"/>
      <c r="B5" s="332"/>
      <c r="C5" s="332"/>
      <c r="D5" s="332"/>
      <c r="E5" s="332"/>
      <c r="F5" s="332"/>
      <c r="G5" s="332"/>
      <c r="H5" s="332"/>
      <c r="I5" s="332"/>
    </row>
    <row r="6" spans="1:9" ht="15" x14ac:dyDescent="0.3">
      <c r="A6" s="332"/>
      <c r="B6" s="332"/>
      <c r="C6" s="332"/>
      <c r="D6" s="332"/>
      <c r="E6" s="332"/>
      <c r="F6" s="332"/>
      <c r="G6" s="332"/>
      <c r="H6" s="332"/>
      <c r="I6" s="332"/>
    </row>
    <row r="7" spans="1:9" ht="15" x14ac:dyDescent="0.3">
      <c r="A7" s="332"/>
      <c r="B7" s="332"/>
      <c r="C7" s="332"/>
      <c r="D7" s="332"/>
      <c r="E7" s="332"/>
      <c r="F7" s="332"/>
      <c r="G7" s="332"/>
      <c r="H7" s="332"/>
      <c r="I7" s="332"/>
    </row>
    <row r="8" spans="1:9" ht="15" x14ac:dyDescent="0.3">
      <c r="A8" s="334" t="s">
        <v>46</v>
      </c>
      <c r="B8" s="334"/>
      <c r="C8" s="334"/>
      <c r="D8" s="334"/>
      <c r="E8" s="334"/>
      <c r="F8" s="334"/>
      <c r="G8" s="334"/>
      <c r="H8" s="334"/>
      <c r="I8" s="334"/>
    </row>
    <row r="9" spans="1:9" ht="15" x14ac:dyDescent="0.3">
      <c r="A9" s="334"/>
      <c r="B9" s="334"/>
      <c r="C9" s="334"/>
      <c r="D9" s="334"/>
      <c r="E9" s="334"/>
      <c r="F9" s="334"/>
      <c r="G9" s="334"/>
      <c r="H9" s="334"/>
      <c r="I9" s="334"/>
    </row>
    <row r="10" spans="1:9" ht="15" x14ac:dyDescent="0.3">
      <c r="A10" s="334"/>
      <c r="B10" s="334"/>
      <c r="C10" s="334"/>
      <c r="D10" s="334"/>
      <c r="E10" s="334"/>
      <c r="F10" s="334"/>
      <c r="G10" s="334"/>
      <c r="H10" s="334"/>
      <c r="I10" s="334"/>
    </row>
    <row r="11" spans="1:9" ht="15" x14ac:dyDescent="0.3">
      <c r="A11" s="334"/>
      <c r="B11" s="334"/>
      <c r="C11" s="334"/>
      <c r="D11" s="334"/>
      <c r="E11" s="334"/>
      <c r="F11" s="334"/>
      <c r="G11" s="334"/>
      <c r="H11" s="334"/>
      <c r="I11" s="334"/>
    </row>
    <row r="12" spans="1:9" ht="15" x14ac:dyDescent="0.3">
      <c r="A12" s="334"/>
      <c r="B12" s="334"/>
      <c r="C12" s="334"/>
      <c r="D12" s="334"/>
      <c r="E12" s="334"/>
      <c r="F12" s="334"/>
      <c r="G12" s="334"/>
      <c r="H12" s="334"/>
      <c r="I12" s="334"/>
    </row>
    <row r="13" spans="1:9" ht="15" x14ac:dyDescent="0.3">
      <c r="A13" s="334"/>
      <c r="B13" s="334"/>
      <c r="C13" s="334"/>
      <c r="D13" s="334"/>
      <c r="E13" s="334"/>
      <c r="F13" s="334"/>
      <c r="G13" s="334"/>
      <c r="H13" s="334"/>
      <c r="I13" s="334"/>
    </row>
    <row r="14" spans="1:9" ht="15" x14ac:dyDescent="0.3">
      <c r="A14" s="334"/>
      <c r="B14" s="334"/>
      <c r="C14" s="334"/>
      <c r="D14" s="334"/>
      <c r="E14" s="334"/>
      <c r="F14" s="334"/>
      <c r="G14" s="334"/>
      <c r="H14" s="334"/>
      <c r="I14" s="334"/>
    </row>
    <row r="15" spans="1:9" ht="19.5" customHeight="1" thickBot="1" x14ac:dyDescent="0.35"/>
    <row r="16" spans="1:9" ht="19.5" customHeight="1" thickBot="1" x14ac:dyDescent="0.35">
      <c r="A16" s="336" t="s">
        <v>31</v>
      </c>
      <c r="B16" s="337"/>
      <c r="C16" s="337"/>
      <c r="D16" s="337"/>
      <c r="E16" s="337"/>
      <c r="F16" s="337"/>
      <c r="G16" s="337"/>
      <c r="H16" s="338"/>
    </row>
    <row r="17" spans="1:14" ht="18.75" x14ac:dyDescent="0.3">
      <c r="A17" s="339" t="s">
        <v>47</v>
      </c>
      <c r="B17" s="339"/>
      <c r="C17" s="339"/>
      <c r="D17" s="339"/>
      <c r="E17" s="339"/>
      <c r="F17" s="339"/>
      <c r="G17" s="339"/>
      <c r="H17" s="339"/>
    </row>
    <row r="18" spans="1:14" ht="18.75" x14ac:dyDescent="0.3">
      <c r="A18" s="341" t="s">
        <v>33</v>
      </c>
      <c r="B18" s="342" t="s">
        <v>131</v>
      </c>
      <c r="C18" s="342"/>
      <c r="D18" s="342"/>
      <c r="E18" s="342"/>
    </row>
    <row r="19" spans="1:14" ht="18.75" x14ac:dyDescent="0.3">
      <c r="A19" s="341" t="s">
        <v>34</v>
      </c>
      <c r="B19" s="343" t="s">
        <v>7</v>
      </c>
      <c r="C19" s="344">
        <v>16</v>
      </c>
    </row>
    <row r="20" spans="1:14" ht="18.75" x14ac:dyDescent="0.3">
      <c r="A20" s="341" t="s">
        <v>35</v>
      </c>
      <c r="B20" s="343" t="s">
        <v>132</v>
      </c>
    </row>
    <row r="21" spans="1:14" ht="18.75" x14ac:dyDescent="0.3">
      <c r="A21" s="341" t="s">
        <v>36</v>
      </c>
      <c r="B21" s="345" t="s">
        <v>133</v>
      </c>
      <c r="C21" s="345"/>
      <c r="D21" s="345"/>
      <c r="E21" s="345"/>
      <c r="F21" s="345"/>
      <c r="G21" s="345"/>
      <c r="H21" s="345"/>
      <c r="I21" s="346"/>
    </row>
    <row r="22" spans="1:14" ht="18.75" x14ac:dyDescent="0.3">
      <c r="A22" s="341" t="s">
        <v>37</v>
      </c>
      <c r="B22" s="347">
        <v>42524.329953703702</v>
      </c>
    </row>
    <row r="23" spans="1:14" ht="18.75" x14ac:dyDescent="0.3">
      <c r="A23" s="341" t="s">
        <v>38</v>
      </c>
      <c r="B23" s="347">
        <v>42528.329953703702</v>
      </c>
    </row>
    <row r="24" spans="1:14" ht="18.75" x14ac:dyDescent="0.3">
      <c r="A24" s="341"/>
      <c r="B24" s="348"/>
    </row>
    <row r="25" spans="1:14" ht="18.75" x14ac:dyDescent="0.3">
      <c r="A25" s="349" t="s">
        <v>1</v>
      </c>
      <c r="B25" s="350" t="s">
        <v>134</v>
      </c>
    </row>
    <row r="26" spans="1:14" s="356" customFormat="1" ht="18.75" x14ac:dyDescent="0.3">
      <c r="A26" s="351"/>
      <c r="B26" s="352"/>
      <c r="C26" s="353"/>
      <c r="D26" s="353"/>
      <c r="E26" s="353"/>
      <c r="F26" s="353"/>
      <c r="G26" s="353"/>
      <c r="H26" s="353"/>
      <c r="I26" s="354"/>
      <c r="J26" s="354"/>
      <c r="K26" s="354"/>
      <c r="L26" s="354"/>
      <c r="M26" s="354"/>
      <c r="N26" s="355"/>
    </row>
    <row r="27" spans="1:14" s="356" customFormat="1" ht="26.25" customHeight="1" x14ac:dyDescent="0.4">
      <c r="A27" s="357" t="s">
        <v>4</v>
      </c>
      <c r="B27" s="358" t="s">
        <v>132</v>
      </c>
      <c r="C27" s="359"/>
      <c r="D27" s="355"/>
      <c r="E27" s="355"/>
      <c r="F27" s="355"/>
      <c r="G27" s="355"/>
      <c r="H27" s="353"/>
      <c r="I27" s="354"/>
      <c r="J27" s="354"/>
      <c r="K27" s="354"/>
      <c r="L27" s="354"/>
      <c r="M27" s="354"/>
      <c r="N27" s="355"/>
    </row>
    <row r="28" spans="1:14" s="356" customFormat="1" ht="26.25" customHeight="1" x14ac:dyDescent="0.4">
      <c r="A28" s="360" t="s">
        <v>135</v>
      </c>
      <c r="B28" s="359">
        <v>100.09</v>
      </c>
      <c r="C28" s="361"/>
      <c r="D28" s="362"/>
      <c r="E28" s="362"/>
      <c r="F28" s="362"/>
      <c r="G28" s="362"/>
      <c r="H28" s="353"/>
      <c r="I28" s="354"/>
      <c r="J28" s="354"/>
      <c r="K28" s="354"/>
      <c r="L28" s="354"/>
      <c r="M28" s="354"/>
      <c r="N28" s="355"/>
    </row>
    <row r="29" spans="1:14" s="356" customFormat="1" ht="26.25" customHeight="1" x14ac:dyDescent="0.4">
      <c r="A29" s="351" t="s">
        <v>136</v>
      </c>
      <c r="B29" s="363">
        <v>0.1</v>
      </c>
      <c r="C29" s="361"/>
      <c r="D29" s="362"/>
      <c r="E29" s="362"/>
      <c r="F29" s="362"/>
      <c r="G29" s="362"/>
      <c r="H29" s="353"/>
      <c r="I29" s="354"/>
      <c r="J29" s="354"/>
      <c r="K29" s="354"/>
      <c r="L29" s="354"/>
      <c r="M29" s="354"/>
      <c r="N29" s="355"/>
    </row>
    <row r="30" spans="1:14" s="356" customFormat="1" ht="18.75" x14ac:dyDescent="0.3">
      <c r="A30" s="364" t="s">
        <v>137</v>
      </c>
      <c r="B30" s="365">
        <v>1</v>
      </c>
      <c r="C30" s="366" t="s">
        <v>138</v>
      </c>
      <c r="D30" s="365">
        <v>1</v>
      </c>
      <c r="F30" s="353"/>
      <c r="G30" s="353"/>
      <c r="H30" s="353"/>
      <c r="I30" s="354"/>
      <c r="J30" s="354"/>
      <c r="K30" s="354"/>
      <c r="L30" s="354"/>
      <c r="M30" s="354"/>
      <c r="N30" s="355"/>
    </row>
    <row r="31" spans="1:14" s="356" customFormat="1" ht="18.75" x14ac:dyDescent="0.3">
      <c r="A31" s="351"/>
      <c r="B31" s="352"/>
      <c r="C31" s="353"/>
      <c r="D31" s="353"/>
      <c r="E31" s="353"/>
      <c r="F31" s="353"/>
      <c r="G31" s="353"/>
      <c r="H31" s="353"/>
      <c r="I31" s="354"/>
      <c r="J31" s="354"/>
      <c r="K31" s="354"/>
      <c r="L31" s="354"/>
      <c r="M31" s="354"/>
      <c r="N31" s="355"/>
    </row>
    <row r="32" spans="1:14" s="356" customFormat="1" ht="19.5" customHeight="1" thickBot="1" x14ac:dyDescent="0.35">
      <c r="A32" s="351"/>
      <c r="B32" s="352"/>
      <c r="C32" s="353"/>
      <c r="D32" s="353"/>
      <c r="E32" s="353"/>
      <c r="F32" s="353"/>
      <c r="G32" s="353"/>
      <c r="H32" s="353"/>
      <c r="I32" s="354"/>
      <c r="J32" s="354"/>
      <c r="K32" s="354"/>
      <c r="L32" s="354"/>
      <c r="M32" s="354"/>
      <c r="N32" s="355"/>
    </row>
    <row r="33" spans="1:14" s="356" customFormat="1" ht="19.5" customHeight="1" thickBot="1" x14ac:dyDescent="0.35">
      <c r="A33" s="367" t="s">
        <v>139</v>
      </c>
      <c r="B33" s="367" t="s">
        <v>140</v>
      </c>
      <c r="C33" s="368" t="s">
        <v>141</v>
      </c>
      <c r="D33" s="367" t="s">
        <v>142</v>
      </c>
      <c r="E33" s="369" t="s">
        <v>143</v>
      </c>
      <c r="F33" s="369" t="s">
        <v>144</v>
      </c>
      <c r="G33" s="367" t="s">
        <v>145</v>
      </c>
      <c r="J33" s="354"/>
      <c r="K33" s="354"/>
      <c r="L33" s="354"/>
      <c r="M33" s="354"/>
      <c r="N33" s="355"/>
    </row>
    <row r="34" spans="1:14" s="356" customFormat="1" ht="26.25" customHeight="1" x14ac:dyDescent="0.4">
      <c r="A34" s="370" t="s">
        <v>146</v>
      </c>
      <c r="B34" s="371">
        <v>200.29</v>
      </c>
      <c r="C34" s="372">
        <f>IF(ISBLANK(B34), "-",B34/$B$28*($B$30/$D$30))</f>
        <v>2.0010990108901985</v>
      </c>
      <c r="D34" s="371">
        <v>19.399999999999999</v>
      </c>
      <c r="E34" s="373">
        <f>IF(ISBLANK(B34), "-",C34/D34)</f>
        <v>0.10314943355104117</v>
      </c>
      <c r="F34" s="374">
        <f>IF(ISBLANK(B34), "-",(E34-$B$29)/$B$29)</f>
        <v>3.1494335510411642E-2</v>
      </c>
      <c r="G34" s="375">
        <f>IF(ISBLANK(B34),"-",E34/$B$29)</f>
        <v>1.0314943355104116</v>
      </c>
      <c r="J34" s="354"/>
      <c r="K34" s="354"/>
      <c r="L34" s="354"/>
      <c r="M34" s="354"/>
      <c r="N34" s="355"/>
    </row>
    <row r="35" spans="1:14" s="356" customFormat="1" ht="26.25" customHeight="1" x14ac:dyDescent="0.4">
      <c r="A35" s="376" t="s">
        <v>147</v>
      </c>
      <c r="B35" s="377">
        <v>205.17</v>
      </c>
      <c r="C35" s="378">
        <f>IF(ISBLANK(B35), "-",B35/$B$28*($B$30/$D$30))</f>
        <v>2.0498551303826553</v>
      </c>
      <c r="D35" s="377">
        <v>19.899999999999999</v>
      </c>
      <c r="E35" s="379">
        <f>IF(ISBLANK(B35), "-",C35/D35)</f>
        <v>0.10300779549661586</v>
      </c>
      <c r="F35" s="380">
        <f>IF(ISBLANK(B35), "-",(E35-$B$29)/$B$29)</f>
        <v>3.0077954966158532E-2</v>
      </c>
      <c r="G35" s="381">
        <f>IF(ISBLANK(B35),"-",E35/$B$29)</f>
        <v>1.0300779549661585</v>
      </c>
      <c r="J35" s="354"/>
      <c r="K35" s="354"/>
      <c r="L35" s="354"/>
      <c r="M35" s="354"/>
      <c r="N35" s="355"/>
    </row>
    <row r="36" spans="1:14" s="356" customFormat="1" ht="26.25" customHeight="1" x14ac:dyDescent="0.4">
      <c r="A36" s="376" t="s">
        <v>148</v>
      </c>
      <c r="B36" s="377">
        <v>210.69</v>
      </c>
      <c r="C36" s="378">
        <f>IF(ISBLANK(B36), "-",B36/$B$28*($B$30/$D$30))</f>
        <v>2.105005495054451</v>
      </c>
      <c r="D36" s="377">
        <v>20.45</v>
      </c>
      <c r="E36" s="379">
        <f>IF(ISBLANK(B36), "-",C36/D36)</f>
        <v>0.10293425403689248</v>
      </c>
      <c r="F36" s="380">
        <f>IF(ISBLANK(B36), "-",(E36-$B$29)/$B$29)</f>
        <v>2.9342540368924724E-2</v>
      </c>
      <c r="G36" s="381">
        <f>IF(ISBLANK(B36),"-",E36/$B$29)</f>
        <v>1.0293425403689247</v>
      </c>
      <c r="J36" s="354"/>
      <c r="K36" s="354"/>
      <c r="L36" s="354"/>
      <c r="M36" s="354"/>
      <c r="N36" s="355"/>
    </row>
    <row r="37" spans="1:14" s="356" customFormat="1" ht="27" customHeight="1" thickBot="1" x14ac:dyDescent="0.45">
      <c r="A37" s="382" t="s">
        <v>149</v>
      </c>
      <c r="B37" s="383"/>
      <c r="C37" s="384" t="str">
        <f>IF(ISBLANK(B37), "-",B37/$B$28*($B$30/$D$30))</f>
        <v>-</v>
      </c>
      <c r="D37" s="383"/>
      <c r="E37" s="385" t="str">
        <f>IF(ISBLANK(B37), "-",C37/D37)</f>
        <v>-</v>
      </c>
      <c r="F37" s="386" t="str">
        <f>IF(ISBLANK(B37), "-",(E37-$B$29)/$B$29)</f>
        <v>-</v>
      </c>
      <c r="G37" s="387" t="str">
        <f>IF(ISBLANK(B37),"-",E37/$B$29)</f>
        <v>-</v>
      </c>
      <c r="J37" s="354"/>
      <c r="K37" s="354"/>
      <c r="L37" s="354"/>
      <c r="M37" s="354"/>
      <c r="N37" s="355"/>
    </row>
    <row r="38" spans="1:14" ht="19.5" customHeight="1" thickBot="1" x14ac:dyDescent="0.35">
      <c r="A38" s="355"/>
      <c r="B38" s="355"/>
      <c r="C38" s="355"/>
      <c r="D38" s="388" t="s">
        <v>150</v>
      </c>
      <c r="E38" s="389">
        <f>AVERAGE(E34:E37)</f>
        <v>0.10303049436151651</v>
      </c>
      <c r="F38" s="390">
        <f>AVERAGE(F34:F37)</f>
        <v>3.0304943615164965E-2</v>
      </c>
      <c r="G38" s="391">
        <f>AVERAGE(G34:G37)</f>
        <v>1.0303049436151648</v>
      </c>
      <c r="H38" s="355"/>
      <c r="L38" s="354"/>
      <c r="M38" s="354"/>
      <c r="N38" s="355"/>
    </row>
    <row r="39" spans="1:14" ht="18.75" x14ac:dyDescent="0.3">
      <c r="A39" s="355"/>
      <c r="B39" s="392"/>
      <c r="C39" s="393"/>
      <c r="D39" s="394" t="s">
        <v>84</v>
      </c>
      <c r="E39" s="395">
        <f>STDEV(E34:E37)/E38</f>
        <v>1.0615387136405541E-3</v>
      </c>
      <c r="F39" s="396"/>
      <c r="G39" s="355"/>
      <c r="H39" s="355"/>
    </row>
    <row r="40" spans="1:14" ht="19.5" customHeight="1" thickBot="1" x14ac:dyDescent="0.35">
      <c r="A40" s="355"/>
      <c r="B40" s="392"/>
      <c r="C40" s="393"/>
      <c r="D40" s="397" t="s">
        <v>20</v>
      </c>
      <c r="E40" s="398">
        <f>COUNT(E34:E37)</f>
        <v>3</v>
      </c>
      <c r="F40" s="399"/>
      <c r="G40" s="355"/>
      <c r="H40" s="355"/>
    </row>
    <row r="41" spans="1:14" ht="18.75" x14ac:dyDescent="0.3">
      <c r="A41" s="400"/>
      <c r="B41" s="401"/>
      <c r="C41" s="392"/>
      <c r="D41" s="392"/>
      <c r="E41" s="392"/>
      <c r="F41" s="402"/>
      <c r="G41" s="355"/>
      <c r="H41" s="355"/>
    </row>
    <row r="43" spans="1:14" ht="18.75" x14ac:dyDescent="0.3">
      <c r="A43" s="403" t="s">
        <v>1</v>
      </c>
      <c r="B43" s="350" t="s">
        <v>85</v>
      </c>
    </row>
    <row r="44" spans="1:14" ht="18.75" x14ac:dyDescent="0.3">
      <c r="A44" s="353" t="s">
        <v>86</v>
      </c>
      <c r="B44" s="404" t="str">
        <f>B21</f>
        <v xml:space="preserve">Calcium Carbonate 600 mg &amp; Cholecalciferol 400 U.I. </v>
      </c>
    </row>
    <row r="45" spans="1:14" ht="18.75" x14ac:dyDescent="0.3">
      <c r="A45" s="404" t="s">
        <v>151</v>
      </c>
      <c r="B45" s="405">
        <v>600</v>
      </c>
      <c r="C45" s="353" t="str">
        <f>B20</f>
        <v>Calcium Carbonate</v>
      </c>
      <c r="H45" s="406"/>
    </row>
    <row r="46" spans="1:14" ht="8.25" customHeight="1" x14ac:dyDescent="0.3">
      <c r="A46" s="404"/>
      <c r="B46" s="407"/>
      <c r="H46" s="406"/>
    </row>
    <row r="47" spans="1:14" ht="18.75" x14ac:dyDescent="0.3">
      <c r="A47" s="404" t="s">
        <v>152</v>
      </c>
      <c r="B47" s="408">
        <v>2112.1595000000002</v>
      </c>
      <c r="H47" s="406"/>
    </row>
    <row r="48" spans="1:14" ht="6" customHeight="1" x14ac:dyDescent="0.3">
      <c r="A48" s="404"/>
      <c r="B48" s="409"/>
      <c r="H48" s="406"/>
    </row>
    <row r="49" spans="1:10" ht="26.25" customHeight="1" x14ac:dyDescent="0.4">
      <c r="A49" s="359" t="s">
        <v>153</v>
      </c>
      <c r="B49" s="359">
        <v>10.01</v>
      </c>
      <c r="C49" s="355" t="str">
        <f>B20</f>
        <v>Calcium Carbonate</v>
      </c>
      <c r="H49" s="406"/>
    </row>
    <row r="50" spans="1:10" ht="19.5" customHeight="1" thickBot="1" x14ac:dyDescent="0.35">
      <c r="A50" s="355"/>
      <c r="B50" s="355"/>
      <c r="C50" s="355"/>
      <c r="D50" s="355"/>
      <c r="H50" s="406"/>
    </row>
    <row r="51" spans="1:10" ht="19.5" customHeight="1" thickBot="1" x14ac:dyDescent="0.35">
      <c r="C51" s="355"/>
      <c r="D51" s="355"/>
      <c r="E51" s="355"/>
      <c r="F51" s="355"/>
      <c r="G51" s="410" t="s">
        <v>154</v>
      </c>
      <c r="H51" s="411"/>
      <c r="J51" s="412"/>
    </row>
    <row r="52" spans="1:10" ht="19.5" customHeight="1" thickBot="1" x14ac:dyDescent="0.35">
      <c r="A52" s="413" t="s">
        <v>155</v>
      </c>
      <c r="B52" s="367" t="s">
        <v>156</v>
      </c>
      <c r="C52" s="367" t="s">
        <v>157</v>
      </c>
      <c r="D52" s="367" t="s">
        <v>158</v>
      </c>
      <c r="E52" s="367" t="s">
        <v>159</v>
      </c>
      <c r="F52" s="414" t="s">
        <v>160</v>
      </c>
      <c r="G52" s="367" t="s">
        <v>161</v>
      </c>
      <c r="H52" s="367" t="s">
        <v>162</v>
      </c>
      <c r="I52" s="415" t="s">
        <v>163</v>
      </c>
      <c r="J52" s="416"/>
    </row>
    <row r="53" spans="1:10" ht="26.25" customHeight="1" thickBot="1" x14ac:dyDescent="0.45">
      <c r="A53" s="417" t="s">
        <v>146</v>
      </c>
      <c r="B53" s="418">
        <f>2254.12/20</f>
        <v>112.70599999999999</v>
      </c>
      <c r="C53" s="419">
        <f>AVERAGE(3.1,3.1,3.1)</f>
        <v>3.1</v>
      </c>
      <c r="D53" s="420">
        <v>0</v>
      </c>
      <c r="E53" s="421">
        <f>IF(ISBLANK(B53),"-",C53-$D$57)</f>
        <v>3.1</v>
      </c>
      <c r="F53" s="422">
        <f>IF(ISBLANK(B53), "-",E53*$G$38)</f>
        <v>3.1939453252070109</v>
      </c>
      <c r="G53" s="423">
        <f>IF(ISBLANK(B53),"-",F53*$B$49)</f>
        <v>31.971392705322177</v>
      </c>
      <c r="H53" s="424">
        <f>IF(ISBLANK(B53),"-",G53*$B$47/B53)</f>
        <v>599.15781618349467</v>
      </c>
      <c r="I53" s="374">
        <f>IF(ISBLANK(B53),"-",H53/$B$45)</f>
        <v>0.99859636030582444</v>
      </c>
      <c r="J53" s="425"/>
    </row>
    <row r="54" spans="1:10" ht="26.25" customHeight="1" thickBot="1" x14ac:dyDescent="0.45">
      <c r="A54" s="426" t="s">
        <v>147</v>
      </c>
      <c r="B54" s="427">
        <f>2284.72/20</f>
        <v>114.23599999999999</v>
      </c>
      <c r="C54" s="419">
        <f>AVERAGE(3.1,3.1,3.2)</f>
        <v>3.1333333333333333</v>
      </c>
      <c r="D54" s="428">
        <v>0</v>
      </c>
      <c r="E54" s="429">
        <f>IF(ISBLANK(B54),"-",C54-$D$57)</f>
        <v>3.1333333333333333</v>
      </c>
      <c r="F54" s="430">
        <f>IF(ISBLANK(B54), "-",E54*$G$38)</f>
        <v>3.2282888233275164</v>
      </c>
      <c r="G54" s="431">
        <f>IF(ISBLANK(B54),"-",F54*$B$49)</f>
        <v>32.315171121508442</v>
      </c>
      <c r="H54" s="432">
        <f>IF(ISBLANK(B54),"-",G54*$B$47/B54)</f>
        <v>597.48937006214965</v>
      </c>
      <c r="I54" s="380">
        <f>IF(ISBLANK(B54),"-",H54/$B$45)</f>
        <v>0.99581561677024943</v>
      </c>
      <c r="J54" s="425"/>
    </row>
    <row r="55" spans="1:10" ht="26.25" customHeight="1" thickBot="1" x14ac:dyDescent="0.45">
      <c r="A55" s="426" t="s">
        <v>148</v>
      </c>
      <c r="B55" s="427">
        <f>2346.74/20</f>
        <v>117.33699999999999</v>
      </c>
      <c r="C55" s="419">
        <f>AVERAGE(3.2,3.2,3.2)</f>
        <v>3.2000000000000006</v>
      </c>
      <c r="D55" s="428">
        <v>0</v>
      </c>
      <c r="E55" s="429">
        <f>IF(ISBLANK(B55),"-",C55-$D$57)</f>
        <v>3.2000000000000006</v>
      </c>
      <c r="F55" s="430">
        <f>IF(ISBLANK(B55), "-",E55*$G$38)</f>
        <v>3.2969758195685279</v>
      </c>
      <c r="G55" s="431">
        <f>IF(ISBLANK(B55),"-",F55*$B$49)</f>
        <v>33.002727953880964</v>
      </c>
      <c r="H55" s="432">
        <f>IF(ISBLANK(B55),"-",G55*$B$47/B55)</f>
        <v>594.07540139687603</v>
      </c>
      <c r="I55" s="380">
        <f>IF(ISBLANK(B55),"-",H55/$B$45)</f>
        <v>0.99012566899479337</v>
      </c>
      <c r="J55" s="425"/>
    </row>
    <row r="56" spans="1:10" ht="27" customHeight="1" thickBot="1" x14ac:dyDescent="0.45">
      <c r="A56" s="433" t="s">
        <v>149</v>
      </c>
      <c r="B56" s="434"/>
      <c r="C56" s="419"/>
      <c r="D56" s="435"/>
      <c r="E56" s="436" t="str">
        <f>IF(ISBLANK(B56),"-",C56-$D$57)</f>
        <v>-</v>
      </c>
      <c r="F56" s="437" t="str">
        <f>IF(ISBLANK(B56), "-",E56*$G$38)</f>
        <v>-</v>
      </c>
      <c r="G56" s="438" t="str">
        <f>IF(ISBLANK(B56),"-",F56*$B$49)</f>
        <v>-</v>
      </c>
      <c r="H56" s="439" t="str">
        <f>IF(ISBLANK(B56),"-",G56*$B$47/B56)</f>
        <v>-</v>
      </c>
      <c r="I56" s="386" t="str">
        <f>IF(ISBLANK(B56),"-",H56/$B$45)</f>
        <v>-</v>
      </c>
      <c r="J56" s="399"/>
    </row>
    <row r="57" spans="1:10" ht="26.25" customHeight="1" x14ac:dyDescent="0.4">
      <c r="C57" s="440" t="s">
        <v>150</v>
      </c>
      <c r="D57" s="441">
        <f>AVERAGE(D53:D56)</f>
        <v>0</v>
      </c>
      <c r="F57" s="440" t="s">
        <v>150</v>
      </c>
      <c r="G57" s="442">
        <f>AVERAGE(G53:G56)</f>
        <v>32.42976392690386</v>
      </c>
      <c r="H57" s="442">
        <f>AVERAGE(H53:H56)</f>
        <v>596.90752921417345</v>
      </c>
      <c r="I57" s="443">
        <f>AVERAGE(I53:I56)</f>
        <v>0.99484588202362234</v>
      </c>
      <c r="J57" s="444"/>
    </row>
    <row r="58" spans="1:10" ht="26.25" customHeight="1" x14ac:dyDescent="0.4">
      <c r="C58" s="394" t="s">
        <v>84</v>
      </c>
      <c r="D58" s="395" t="str">
        <f>IF(D57=0,"-",STDEV(D53:D56)/D57)</f>
        <v>-</v>
      </c>
      <c r="F58" s="394" t="s">
        <v>84</v>
      </c>
      <c r="G58" s="445"/>
      <c r="H58" s="446">
        <f>STDEV(H53:H56)/H57</f>
        <v>4.340174995463986E-3</v>
      </c>
      <c r="I58" s="446">
        <f>STDEV(I53:I56)/I57</f>
        <v>4.3401749954639886E-3</v>
      </c>
      <c r="J58" s="447"/>
    </row>
    <row r="59" spans="1:10" ht="27" customHeight="1" thickBot="1" x14ac:dyDescent="0.45">
      <c r="C59" s="397" t="s">
        <v>20</v>
      </c>
      <c r="D59" s="398">
        <f>COUNT(D53:D56)</f>
        <v>3</v>
      </c>
      <c r="F59" s="397" t="s">
        <v>20</v>
      </c>
      <c r="G59" s="448">
        <f>COUNT(G53:G56)</f>
        <v>3</v>
      </c>
      <c r="H59" s="448">
        <f>COUNT(H53:H56)</f>
        <v>3</v>
      </c>
      <c r="I59" s="448">
        <f>COUNT(I53:I56)</f>
        <v>3</v>
      </c>
      <c r="J59" s="449"/>
    </row>
    <row r="60" spans="1:10" ht="18.75" x14ac:dyDescent="0.3">
      <c r="H60" s="406"/>
      <c r="J60" s="355"/>
    </row>
    <row r="61" spans="1:10" ht="18.75" x14ac:dyDescent="0.3">
      <c r="H61" s="406"/>
    </row>
    <row r="62" spans="1:10" ht="19.5" customHeight="1" thickBot="1" x14ac:dyDescent="0.35">
      <c r="A62" s="450"/>
      <c r="B62" s="450"/>
      <c r="C62" s="451"/>
      <c r="D62" s="451"/>
      <c r="E62" s="451"/>
      <c r="F62" s="451"/>
      <c r="G62" s="451"/>
      <c r="H62" s="451"/>
    </row>
    <row r="63" spans="1:10" ht="18.75" x14ac:dyDescent="0.3">
      <c r="B63" s="452" t="s">
        <v>26</v>
      </c>
      <c r="C63" s="452"/>
      <c r="E63" s="453" t="s">
        <v>27</v>
      </c>
      <c r="F63" s="454"/>
      <c r="G63" s="452" t="s">
        <v>28</v>
      </c>
      <c r="H63" s="452"/>
    </row>
    <row r="64" spans="1:10" ht="83.25" customHeight="1" x14ac:dyDescent="0.3">
      <c r="A64" s="455" t="s">
        <v>29</v>
      </c>
      <c r="B64" s="456" t="s">
        <v>164</v>
      </c>
      <c r="C64" s="456"/>
      <c r="E64" s="457"/>
      <c r="F64" s="353"/>
      <c r="G64" s="457"/>
      <c r="H64" s="457"/>
    </row>
    <row r="65" spans="1:9" ht="84" customHeight="1" x14ac:dyDescent="0.3">
      <c r="A65" s="455" t="s">
        <v>30</v>
      </c>
      <c r="B65" s="458"/>
      <c r="C65" s="458"/>
      <c r="E65" s="459"/>
      <c r="F65" s="353"/>
      <c r="G65" s="460"/>
      <c r="H65" s="460"/>
    </row>
    <row r="66" spans="1:9" ht="18.75" x14ac:dyDescent="0.3">
      <c r="A66" s="406"/>
      <c r="B66" s="406"/>
      <c r="C66" s="406"/>
      <c r="D66" s="406"/>
      <c r="E66" s="406"/>
      <c r="F66" s="461"/>
      <c r="G66" s="406"/>
      <c r="H66" s="406"/>
      <c r="I66" s="355"/>
    </row>
    <row r="67" spans="1:9" ht="18.75" x14ac:dyDescent="0.3">
      <c r="A67" s="406"/>
      <c r="B67" s="406"/>
      <c r="C67" s="406"/>
      <c r="D67" s="406"/>
      <c r="E67" s="406"/>
      <c r="F67" s="461"/>
      <c r="G67" s="406"/>
      <c r="H67" s="406"/>
      <c r="I67" s="355"/>
    </row>
    <row r="68" spans="1:9" ht="18.75" x14ac:dyDescent="0.3">
      <c r="A68" s="406"/>
      <c r="B68" s="406"/>
      <c r="C68" s="406"/>
      <c r="D68" s="406"/>
      <c r="E68" s="406"/>
      <c r="F68" s="461"/>
      <c r="G68" s="406"/>
      <c r="H68" s="406"/>
      <c r="I68" s="355"/>
    </row>
    <row r="69" spans="1:9" ht="18.75" x14ac:dyDescent="0.3">
      <c r="A69" s="406"/>
      <c r="B69" s="406"/>
      <c r="C69" s="406"/>
      <c r="D69" s="406"/>
      <c r="E69" s="406"/>
      <c r="F69" s="461"/>
      <c r="G69" s="406"/>
      <c r="H69" s="406"/>
      <c r="I69" s="355"/>
    </row>
    <row r="70" spans="1:9" ht="18.75" x14ac:dyDescent="0.3">
      <c r="A70" s="406"/>
      <c r="B70" s="406"/>
      <c r="C70" s="406"/>
      <c r="D70" s="406"/>
      <c r="E70" s="406"/>
      <c r="F70" s="461"/>
      <c r="G70" s="406"/>
      <c r="H70" s="406"/>
      <c r="I70" s="355"/>
    </row>
    <row r="71" spans="1:9" ht="18.75" x14ac:dyDescent="0.3">
      <c r="A71" s="406"/>
      <c r="B71" s="406"/>
      <c r="C71" s="406"/>
      <c r="D71" s="406"/>
      <c r="E71" s="406"/>
      <c r="F71" s="461"/>
      <c r="G71" s="406"/>
      <c r="H71" s="406"/>
      <c r="I71" s="355"/>
    </row>
    <row r="72" spans="1:9" ht="18.75" x14ac:dyDescent="0.3">
      <c r="A72" s="406"/>
      <c r="B72" s="406"/>
      <c r="C72" s="406"/>
      <c r="D72" s="406"/>
      <c r="E72" s="406"/>
      <c r="F72" s="461"/>
      <c r="G72" s="406"/>
      <c r="H72" s="406"/>
      <c r="I72" s="355"/>
    </row>
    <row r="73" spans="1:9" ht="18.75" x14ac:dyDescent="0.3">
      <c r="A73" s="406"/>
      <c r="B73" s="406"/>
      <c r="C73" s="406"/>
      <c r="D73" s="406"/>
      <c r="E73" s="406"/>
      <c r="F73" s="461"/>
      <c r="G73" s="406"/>
      <c r="H73" s="406"/>
      <c r="I73" s="355"/>
    </row>
    <row r="74" spans="1:9" ht="18.75" x14ac:dyDescent="0.3">
      <c r="A74" s="406"/>
      <c r="B74" s="406"/>
      <c r="C74" s="406"/>
      <c r="D74" s="406"/>
      <c r="E74" s="406"/>
      <c r="F74" s="461"/>
      <c r="G74" s="406"/>
      <c r="H74" s="406"/>
      <c r="I74" s="355"/>
    </row>
    <row r="250" spans="1:1" x14ac:dyDescent="0.3">
      <c r="A250" s="335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1:I7"/>
    <mergeCell ref="A8:I14"/>
    <mergeCell ref="A16:H16"/>
    <mergeCell ref="A17:H17"/>
    <mergeCell ref="G51:H51"/>
    <mergeCell ref="B63:C63"/>
    <mergeCell ref="G63:H63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8">
    <cfRule type="cellIs" dxfId="4" priority="3" operator="greaterThan">
      <formula>0.02</formula>
    </cfRule>
  </conditionalFormatting>
  <conditionalFormatting sqref="H58">
    <cfRule type="cellIs" dxfId="3" priority="4" operator="greaterThan">
      <formula>0.02</formula>
    </cfRule>
  </conditionalFormatting>
  <conditionalFormatting sqref="I58">
    <cfRule type="cellIs" dxfId="2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Cholecalciferol</vt:lpstr>
      <vt:lpstr>Calcium carbonate</vt:lpstr>
      <vt:lpstr>'Calcium carbonate'!Print_Area</vt:lpstr>
      <vt:lpstr>Cholecalciferol!Print_Area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2016-06-08T09:27:00Z</cp:lastPrinted>
  <dcterms:created xsi:type="dcterms:W3CDTF">2005-07-05T10:19:27Z</dcterms:created>
  <dcterms:modified xsi:type="dcterms:W3CDTF">2016-06-08T09:44:35Z</dcterms:modified>
</cp:coreProperties>
</file>