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Omeprazole" sheetId="3" r:id="rId3"/>
    <sheet name="Sheet1" sheetId="4" r:id="rId4"/>
  </sheets>
  <definedNames>
    <definedName name="_xlnm.Print_Area" localSheetId="2">Omeprazole!$A$1:$H$142</definedName>
  </definedNames>
  <calcPr calcId="145621"/>
</workbook>
</file>

<file path=xl/calcChain.xml><?xml version="1.0" encoding="utf-8"?>
<calcChain xmlns="http://schemas.openxmlformats.org/spreadsheetml/2006/main">
  <c r="B45" i="3" l="1"/>
  <c r="B99" i="3"/>
  <c r="G13" i="4"/>
  <c r="L18" i="4"/>
  <c r="M18" i="4"/>
  <c r="H27" i="4"/>
  <c r="B57" i="3"/>
  <c r="B30" i="3"/>
  <c r="C138" i="3" l="1"/>
  <c r="B134" i="3"/>
  <c r="C121" i="3"/>
  <c r="B117" i="3"/>
  <c r="D101" i="3" s="1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B69" i="3" s="1"/>
  <c r="H67" i="3"/>
  <c r="G67" i="3"/>
  <c r="H63" i="3"/>
  <c r="G63" i="3"/>
  <c r="C56" i="3"/>
  <c r="B55" i="3"/>
  <c r="D48" i="3"/>
  <c r="F42" i="3"/>
  <c r="D42" i="3"/>
  <c r="G41" i="3"/>
  <c r="E41" i="3"/>
  <c r="B34" i="3"/>
  <c r="D44" i="3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3" l="1"/>
  <c r="G38" i="3"/>
  <c r="D102" i="3"/>
  <c r="B84" i="3"/>
  <c r="D99" i="3"/>
  <c r="D45" i="3"/>
  <c r="D46" i="3" s="1"/>
  <c r="C48" i="2"/>
  <c r="C47" i="2"/>
  <c r="E40" i="2"/>
  <c r="E36" i="2"/>
  <c r="E30" i="2"/>
  <c r="E26" i="2"/>
  <c r="D47" i="2"/>
  <c r="E28" i="2"/>
  <c r="E38" i="2"/>
  <c r="E32" i="2"/>
  <c r="E24" i="2"/>
  <c r="D48" i="2"/>
  <c r="B47" i="2"/>
  <c r="E34" i="2"/>
  <c r="E22" i="2"/>
  <c r="E25" i="2"/>
  <c r="E29" i="2"/>
  <c r="E33" i="2"/>
  <c r="E37" i="2"/>
  <c r="E23" i="2"/>
  <c r="E27" i="2"/>
  <c r="E31" i="2"/>
  <c r="E35" i="2"/>
  <c r="E39" i="2"/>
  <c r="D49" i="3"/>
  <c r="E40" i="3"/>
  <c r="E39" i="3"/>
  <c r="D42" i="2"/>
  <c r="F44" i="3"/>
  <c r="F45" i="3" s="1"/>
  <c r="F46" i="3" s="1"/>
  <c r="F98" i="3"/>
  <c r="F99" i="3" s="1"/>
  <c r="E21" i="2"/>
  <c r="G92" i="3" l="1"/>
  <c r="E92" i="3"/>
  <c r="D103" i="3"/>
  <c r="F100" i="3"/>
  <c r="D100" i="3"/>
  <c r="E93" i="3"/>
  <c r="G40" i="3"/>
  <c r="E94" i="3"/>
  <c r="G39" i="3"/>
  <c r="G93" i="3"/>
  <c r="E42" i="3"/>
  <c r="G94" i="3"/>
  <c r="D106" i="3" l="1"/>
  <c r="D104" i="3"/>
  <c r="E96" i="3"/>
  <c r="G96" i="3"/>
  <c r="G42" i="3"/>
  <c r="D52" i="3"/>
  <c r="D50" i="3"/>
  <c r="G68" i="3" s="1"/>
  <c r="H68" i="3" s="1"/>
  <c r="D51" i="3"/>
  <c r="E109" i="3" l="1"/>
  <c r="F109" i="3" s="1"/>
  <c r="E126" i="3"/>
  <c r="F126" i="3" s="1"/>
  <c r="E130" i="3"/>
  <c r="F130" i="3" s="1"/>
  <c r="D105" i="3"/>
  <c r="E131" i="3"/>
  <c r="F131" i="3" s="1"/>
  <c r="E114" i="3"/>
  <c r="F114" i="3" s="1"/>
  <c r="E111" i="3"/>
  <c r="F111" i="3" s="1"/>
  <c r="E113" i="3"/>
  <c r="F113" i="3" s="1"/>
  <c r="E127" i="3"/>
  <c r="F127" i="3" s="1"/>
  <c r="E110" i="3"/>
  <c r="F110" i="3" s="1"/>
  <c r="E128" i="3"/>
  <c r="F128" i="3" s="1"/>
  <c r="E129" i="3"/>
  <c r="F129" i="3" s="1"/>
  <c r="E112" i="3"/>
  <c r="F112" i="3" s="1"/>
  <c r="G70" i="3"/>
  <c r="H70" i="3" s="1"/>
  <c r="G66" i="3"/>
  <c r="H66" i="3" s="1"/>
  <c r="G60" i="3"/>
  <c r="H60" i="3" s="1"/>
  <c r="G64" i="3"/>
  <c r="H64" i="3" s="1"/>
  <c r="G69" i="3"/>
  <c r="H69" i="3" s="1"/>
  <c r="G61" i="3"/>
  <c r="H61" i="3" s="1"/>
  <c r="G65" i="3"/>
  <c r="H65" i="3" s="1"/>
  <c r="G62" i="3"/>
  <c r="H62" i="3" s="1"/>
  <c r="F116" i="3" l="1"/>
  <c r="G121" i="3" s="1"/>
  <c r="F133" i="3"/>
  <c r="F135" i="3"/>
  <c r="F118" i="3"/>
  <c r="H74" i="3"/>
  <c r="H72" i="3"/>
  <c r="F134" i="3" l="1"/>
  <c r="G138" i="3"/>
  <c r="F117" i="3"/>
  <c r="H73" i="3"/>
  <c r="G76" i="3"/>
</calcChain>
</file>

<file path=xl/sharedStrings.xml><?xml version="1.0" encoding="utf-8"?>
<sst xmlns="http://schemas.openxmlformats.org/spreadsheetml/2006/main" count="259" uniqueCount="122">
  <si>
    <t>HPLC System Suitability Report</t>
  </si>
  <si>
    <t>Analysis Data</t>
  </si>
  <si>
    <t>Assay</t>
  </si>
  <si>
    <t>Sample(s)</t>
  </si>
  <si>
    <t>Reference Substance:</t>
  </si>
  <si>
    <t xml:space="preserve">OMEZOLE CAPSULES </t>
  </si>
  <si>
    <t>% age Purity:</t>
  </si>
  <si>
    <t>NDQD201503147</t>
  </si>
  <si>
    <t>Weight (mg):</t>
  </si>
  <si>
    <t>OMEPRAZOLE USP</t>
  </si>
  <si>
    <t>Standard Conc (mg/mL):</t>
  </si>
  <si>
    <t>Each tablet contains: Omeprazole delayed Release USP 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</si>
  <si>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</si>
  <si>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</si>
  <si>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</si>
  <si>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</si>
  <si>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</si>
  <si>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</si>
  <si>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</si>
  <si>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</si>
  <si>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</si>
  <si>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</si>
  <si>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</si>
  <si>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</si>
  <si>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</si>
  <si>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</si>
  <si>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</si>
  <si>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</si>
  <si>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</si>
  <si>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</si>
  <si>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</si>
  <si>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</si>
  <si>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</si>
  <si>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</si>
  <si>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</si>
  <si>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</si>
  <si>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</si>
  <si>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</si>
  <si>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</si>
  <si>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</si>
  <si>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</si>
  <si>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</si>
  <si>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</si>
  <si>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</si>
  <si>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</si>
  <si>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</si>
  <si>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</si>
  <si>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</si>
  <si>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</si>
  <si>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</si>
  <si>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</si>
  <si>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</si>
  <si>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</si>
  <si>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</si>
  <si>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</si>
  <si>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</si>
  <si>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</si>
  <si>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</si>
  <si>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</si>
  <si>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</si>
  <si>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</si>
  <si>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</si>
  <si>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</si>
  <si>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</si>
  <si>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</si>
  <si>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</si>
  <si>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</si>
  <si>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</si>
  <si>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</si>
  <si>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</si>
  <si>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</si>
  <si>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</si>
  <si>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</si>
  <si>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</si>
  <si>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</si>
  <si>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</si>
  <si>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</si>
  <si>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</si>
  <si>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</si>
  <si>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</si>
  <si>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</si>
  <si>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</si>
  <si>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</si>
  <si>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</si>
  <si>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</si>
  <si>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</si>
  <si>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</si>
  <si>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</si>
  <si>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</si>
  <si>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</si>
  <si>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</si>
  <si>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</si>
  <si>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</si>
  <si>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</si>
  <si>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</si>
  <si>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</si>
  <si>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</si>
  <si>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</si>
  <si>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</si>
  <si>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</si>
  <si>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</si>
  <si>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</si>
  <si>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</si>
  <si>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</si>
  <si>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</si>
  <si>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</si>
  <si>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</si>
  <si>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</si>
  <si>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</si>
  <si>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</si>
  <si>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</si>
  <si>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</si>
  <si>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</si>
  <si>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</si>
  <si>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</si>
  <si>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</si>
  <si>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</si>
  <si>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</si>
  <si>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</si>
  <si>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Jane Matundura</t>
  </si>
  <si>
    <t>Omeprazole</t>
  </si>
  <si>
    <t>O14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</si>
</sst>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0" fontId="11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1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1" xfId="0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43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17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44" xfId="0" applyFont="1" applyFill="1" applyBorder="1"/>
    <xf numFmtId="0" fontId="12" fillId="2" borderId="36" xfId="0" applyFont="1" applyFill="1" applyBorder="1" applyAlignment="1">
      <alignment horizontal="center" wrapText="1"/>
    </xf>
    <xf numFmtId="2" fontId="11" fillId="2" borderId="45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6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34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8" xfId="0" applyFont="1" applyFill="1" applyBorder="1"/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51" xfId="0" applyFont="1" applyFill="1" applyBorder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2" fontId="11" fillId="2" borderId="33" xfId="0" applyNumberFormat="1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/>
    </xf>
    <xf numFmtId="10" fontId="11" fillId="2" borderId="55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3" borderId="0" xfId="0" applyNumberFormat="1" applyFont="1" applyFill="1" applyAlignment="1" applyProtection="1">
      <alignment horizontal="left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171" fontId="11" fillId="2" borderId="54" xfId="0" applyNumberFormat="1" applyFont="1" applyFill="1" applyBorder="1" applyAlignment="1">
      <alignment horizontal="center"/>
    </xf>
    <xf numFmtId="171" fontId="11" fillId="2" borderId="55" xfId="0" applyNumberFormat="1" applyFont="1" applyFill="1" applyBorder="1" applyAlignment="1">
      <alignment horizontal="center"/>
    </xf>
    <xf numFmtId="1" fontId="12" fillId="6" borderId="32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10" fontId="11" fillId="2" borderId="56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5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10" fontId="11" fillId="2" borderId="39" xfId="0" applyNumberFormat="1" applyFont="1" applyFill="1" applyBorder="1" applyAlignment="1">
      <alignment horizontal="center"/>
    </xf>
    <xf numFmtId="10" fontId="11" fillId="2" borderId="35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2" fontId="11" fillId="6" borderId="58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7" borderId="3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right"/>
    </xf>
    <xf numFmtId="1" fontId="12" fillId="6" borderId="59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6" xfId="0" applyFont="1" applyFill="1" applyBorder="1" applyAlignment="1" applyProtection="1">
      <alignment horizontal="center"/>
      <protection locked="0"/>
    </xf>
    <xf numFmtId="0" fontId="18" fillId="3" borderId="35" xfId="0" applyFont="1" applyFill="1" applyBorder="1" applyAlignment="1" applyProtection="1">
      <alignment horizontal="center"/>
      <protection locked="0"/>
    </xf>
    <xf numFmtId="0" fontId="18" fillId="3" borderId="60" xfId="0" applyFont="1" applyFill="1" applyBorder="1" applyAlignment="1" applyProtection="1">
      <alignment horizontal="center"/>
      <protection locked="0"/>
    </xf>
    <xf numFmtId="0" fontId="18" fillId="3" borderId="34" xfId="0" applyFont="1" applyFill="1" applyBorder="1" applyAlignment="1" applyProtection="1">
      <alignment horizontal="center"/>
      <protection locked="0"/>
    </xf>
    <xf numFmtId="0" fontId="18" fillId="3" borderId="40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28" xfId="0" applyFont="1" applyFill="1" applyBorder="1" applyAlignment="1" applyProtection="1">
      <alignment horizontal="center"/>
      <protection locked="0"/>
    </xf>
    <xf numFmtId="0" fontId="18" fillId="3" borderId="58" xfId="0" applyFont="1" applyFill="1" applyBorder="1" applyAlignment="1" applyProtection="1">
      <alignment horizontal="center"/>
      <protection locked="0"/>
    </xf>
    <xf numFmtId="2" fontId="19" fillId="2" borderId="56" xfId="0" applyNumberFormat="1" applyFont="1" applyFill="1" applyBorder="1" applyAlignment="1">
      <alignment horizontal="center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171" fontId="18" fillId="3" borderId="40" xfId="0" applyNumberFormat="1" applyFont="1" applyFill="1" applyBorder="1" applyAlignment="1" applyProtection="1">
      <alignment horizontal="center"/>
      <protection locked="0"/>
    </xf>
    <xf numFmtId="1" fontId="18" fillId="3" borderId="46" xfId="0" applyNumberFormat="1" applyFont="1" applyFill="1" applyBorder="1" applyAlignment="1" applyProtection="1">
      <alignment horizontal="center"/>
      <protection locked="0"/>
    </xf>
    <xf numFmtId="1" fontId="18" fillId="3" borderId="47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36" xfId="0" applyFont="1" applyFill="1" applyBorder="1" applyAlignment="1" applyProtection="1">
      <alignment horizontal="center"/>
      <protection locked="0"/>
    </xf>
    <xf numFmtId="0" fontId="19" fillId="3" borderId="35" xfId="0" applyFont="1" applyFill="1" applyBorder="1" applyAlignment="1" applyProtection="1">
      <alignment horizontal="center"/>
      <protection locked="0"/>
    </xf>
    <xf numFmtId="1" fontId="19" fillId="3" borderId="46" xfId="0" applyNumberFormat="1" applyFont="1" applyFill="1" applyBorder="1" applyAlignment="1" applyProtection="1">
      <alignment horizontal="center"/>
      <protection locked="0"/>
    </xf>
    <xf numFmtId="1" fontId="19" fillId="3" borderId="47" xfId="0" applyNumberFormat="1" applyFont="1" applyFill="1" applyBorder="1" applyAlignment="1" applyProtection="1">
      <alignment horizontal="center"/>
      <protection locked="0"/>
    </xf>
    <xf numFmtId="10" fontId="18" fillId="7" borderId="58" xfId="0" applyNumberFormat="1" applyFont="1" applyFill="1" applyBorder="1" applyAlignment="1">
      <alignment horizontal="center"/>
    </xf>
    <xf numFmtId="10" fontId="18" fillId="6" borderId="58" xfId="0" applyNumberFormat="1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35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61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61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42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56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61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/>
    <xf numFmtId="0" fontId="6" fillId="2" borderId="46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5" xfId="0" applyFont="1" applyFill="1" applyBorder="1" applyAlignment="1">
      <alignment horizontal="center"/>
    </xf>
    <xf numFmtId="1" fontId="5" fillId="4" borderId="47" xfId="0" applyNumberFormat="1" applyFont="1" applyFill="1" applyBorder="1" applyAlignment="1">
      <alignment horizontal="center"/>
    </xf>
    <xf numFmtId="0" fontId="7" fillId="3" borderId="62" xfId="0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6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9" t="s">
        <v>0</v>
      </c>
      <c r="B15" s="299"/>
      <c r="C15" s="299"/>
      <c r="D15" s="299"/>
      <c r="E15" s="29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343">
        <v>42186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132124239</v>
      </c>
      <c r="C24" s="18">
        <v>3856.93</v>
      </c>
      <c r="D24" s="19">
        <v>1.45</v>
      </c>
      <c r="E24" s="20">
        <v>3.47</v>
      </c>
    </row>
    <row r="25" spans="1:6" ht="16.5" customHeight="1" x14ac:dyDescent="0.3">
      <c r="A25" s="17">
        <v>2</v>
      </c>
      <c r="B25" s="18">
        <v>132253948</v>
      </c>
      <c r="C25" s="18">
        <v>3834.97</v>
      </c>
      <c r="D25" s="19">
        <v>1.45</v>
      </c>
      <c r="E25" s="19">
        <v>3.47</v>
      </c>
    </row>
    <row r="26" spans="1:6" ht="16.5" customHeight="1" x14ac:dyDescent="0.3">
      <c r="A26" s="17">
        <v>3</v>
      </c>
      <c r="B26" s="18">
        <v>132253948</v>
      </c>
      <c r="C26" s="18">
        <v>3855.03</v>
      </c>
      <c r="D26" s="19">
        <v>1.42</v>
      </c>
      <c r="E26" s="19">
        <v>3.47</v>
      </c>
    </row>
    <row r="27" spans="1:6" ht="16.5" customHeight="1" x14ac:dyDescent="0.3">
      <c r="A27" s="17">
        <v>4</v>
      </c>
      <c r="B27" s="18">
        <v>132128927</v>
      </c>
      <c r="C27" s="18">
        <v>3839.05</v>
      </c>
      <c r="D27" s="19">
        <v>1.41</v>
      </c>
      <c r="E27" s="19">
        <v>3.47</v>
      </c>
    </row>
    <row r="28" spans="1:6" ht="16.5" customHeight="1" x14ac:dyDescent="0.3">
      <c r="A28" s="17">
        <v>5</v>
      </c>
      <c r="B28" s="18">
        <v>132176954</v>
      </c>
      <c r="C28" s="18">
        <v>3890.51</v>
      </c>
      <c r="D28" s="19">
        <v>1.42</v>
      </c>
      <c r="E28" s="19">
        <v>3.47</v>
      </c>
    </row>
    <row r="29" spans="1:6" ht="16.5" customHeight="1" x14ac:dyDescent="0.3">
      <c r="A29" s="17">
        <v>6</v>
      </c>
      <c r="B29" s="21">
        <v>132069728</v>
      </c>
      <c r="C29" s="21">
        <v>3891.45</v>
      </c>
      <c r="D29" s="22">
        <v>1.47</v>
      </c>
      <c r="E29" s="22">
        <v>3.47</v>
      </c>
    </row>
    <row r="30" spans="1:6" ht="16.5" customHeight="1" x14ac:dyDescent="0.3">
      <c r="A30" s="23" t="s">
        <v>17</v>
      </c>
      <c r="B30" s="24">
        <f>AVERAGE(B24:B29)</f>
        <v>132167957.33333333</v>
      </c>
      <c r="C30" s="25">
        <f>AVERAGE(C24:C29)</f>
        <v>3861.3233333333333</v>
      </c>
      <c r="D30" s="26">
        <f>AVERAGE(D24:D29)</f>
        <v>1.4366666666666668</v>
      </c>
      <c r="E30" s="26">
        <f>AVERAGE(E24:E29)</f>
        <v>3.47</v>
      </c>
    </row>
    <row r="31" spans="1:6" ht="16.5" customHeight="1" x14ac:dyDescent="0.3">
      <c r="A31" s="27" t="s">
        <v>18</v>
      </c>
      <c r="B31" s="28">
        <f>(STDEV(B24:B29)/B30)</f>
        <v>5.6572591007733868E-4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347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344">
        <v>1</v>
      </c>
      <c r="B45" s="349">
        <v>17040656</v>
      </c>
      <c r="C45" s="345">
        <v>6127.45</v>
      </c>
      <c r="D45" s="19">
        <v>1.08</v>
      </c>
      <c r="E45" s="20">
        <v>4.33</v>
      </c>
    </row>
    <row r="46" spans="1:6" ht="16.5" customHeight="1" x14ac:dyDescent="0.3">
      <c r="A46" s="344">
        <v>2</v>
      </c>
      <c r="B46" s="350">
        <v>17020518</v>
      </c>
      <c r="C46" s="345">
        <v>6075.09</v>
      </c>
      <c r="D46" s="19">
        <v>1.1200000000000001</v>
      </c>
      <c r="E46" s="19">
        <v>4.33</v>
      </c>
    </row>
    <row r="47" spans="1:6" ht="16.5" customHeight="1" x14ac:dyDescent="0.3">
      <c r="A47" s="344">
        <v>3</v>
      </c>
      <c r="B47" s="350">
        <v>17050956</v>
      </c>
      <c r="C47" s="345">
        <v>6122.92</v>
      </c>
      <c r="D47" s="19">
        <v>1.0900000000000001</v>
      </c>
      <c r="E47" s="19">
        <v>4.34</v>
      </c>
    </row>
    <row r="48" spans="1:6" ht="16.5" customHeight="1" x14ac:dyDescent="0.3">
      <c r="A48" s="344">
        <v>4</v>
      </c>
      <c r="B48" s="350">
        <v>16908628</v>
      </c>
      <c r="C48" s="345">
        <v>6077.39</v>
      </c>
      <c r="D48" s="19">
        <v>1.1100000000000001</v>
      </c>
      <c r="E48" s="19">
        <v>4.33</v>
      </c>
    </row>
    <row r="49" spans="1:7" ht="16.5" customHeight="1" x14ac:dyDescent="0.3">
      <c r="A49" s="344">
        <v>5</v>
      </c>
      <c r="B49" s="350">
        <v>17072576</v>
      </c>
      <c r="C49" s="345">
        <v>6052.03</v>
      </c>
      <c r="D49" s="19">
        <v>1.1200000000000001</v>
      </c>
      <c r="E49" s="19">
        <v>4.34</v>
      </c>
    </row>
    <row r="50" spans="1:7" ht="16.5" customHeight="1" x14ac:dyDescent="0.3">
      <c r="A50" s="344">
        <v>6</v>
      </c>
      <c r="B50" s="351">
        <v>17187381</v>
      </c>
      <c r="C50" s="346">
        <v>6020.48</v>
      </c>
      <c r="D50" s="22">
        <v>1.1000000000000001</v>
      </c>
      <c r="E50" s="22">
        <v>4.34</v>
      </c>
    </row>
    <row r="51" spans="1:7" ht="16.5" customHeight="1" x14ac:dyDescent="0.3">
      <c r="A51" s="23" t="s">
        <v>17</v>
      </c>
      <c r="B51" s="348">
        <f>AVERAGE(B45:B50)</f>
        <v>17046785.833333332</v>
      </c>
      <c r="C51" s="25">
        <f>AVERAGE(C45:C50)</f>
        <v>6079.2266666666665</v>
      </c>
      <c r="D51" s="26">
        <f>AVERAGE(D45:D50)</f>
        <v>1.1033333333333335</v>
      </c>
      <c r="E51" s="26">
        <f>AVERAGE(E45:E50)</f>
        <v>4.335</v>
      </c>
    </row>
    <row r="52" spans="1:7" ht="16.5" customHeight="1" x14ac:dyDescent="0.3">
      <c r="A52" s="27" t="s">
        <v>18</v>
      </c>
      <c r="B52" s="28">
        <f>(STDEV(B45:B50)/B51)</f>
        <v>5.2642274356290023E-3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0" t="s">
        <v>25</v>
      </c>
      <c r="C59" s="30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119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activeCell="B21" sqref="B2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3" t="s">
        <v>30</v>
      </c>
      <c r="B8" s="303"/>
      <c r="C8" s="303"/>
      <c r="D8" s="303"/>
      <c r="E8" s="303"/>
      <c r="F8" s="303"/>
      <c r="G8" s="303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4" t="s">
        <v>31</v>
      </c>
      <c r="B10" s="304"/>
      <c r="C10" s="304"/>
      <c r="D10" s="304"/>
      <c r="E10" s="304"/>
      <c r="F10" s="304"/>
      <c r="G10" s="304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1" t="s">
        <v>32</v>
      </c>
      <c r="B11" s="301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1" t="s">
        <v>33</v>
      </c>
      <c r="B12" s="301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1" t="s">
        <v>34</v>
      </c>
      <c r="B13" s="301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1" t="s">
        <v>35</v>
      </c>
      <c r="B14" s="301"/>
      <c r="C14" s="302" t="s">
        <v>11</v>
      </c>
      <c r="D14" s="302"/>
      <c r="E14" s="302"/>
      <c r="F14" s="302"/>
      <c r="G14" s="302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1" t="s">
        <v>36</v>
      </c>
      <c r="B15" s="301"/>
      <c r="C15" s="74">
        <v>42186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1" t="s">
        <v>37</v>
      </c>
      <c r="B16" s="301"/>
      <c r="C16" s="74">
        <v>42186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331.15</v>
      </c>
      <c r="C21" s="83">
        <v>61.32</v>
      </c>
      <c r="D21" s="84">
        <f t="shared" ref="D21:D40" si="0">B21-C21</f>
        <v>269.83</v>
      </c>
      <c r="E21" s="85">
        <f t="shared" ref="E21:E40" si="1">(D21-$D$43)/$D$43</f>
        <v>1.0968424799318139E-2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330.76</v>
      </c>
      <c r="C22" s="88">
        <v>61.38</v>
      </c>
      <c r="D22" s="89">
        <f t="shared" si="0"/>
        <v>269.38</v>
      </c>
      <c r="E22" s="85">
        <f t="shared" si="1"/>
        <v>9.2824158634708213E-3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332.72</v>
      </c>
      <c r="C23" s="88">
        <v>61.97</v>
      </c>
      <c r="D23" s="89">
        <f t="shared" si="0"/>
        <v>270.75</v>
      </c>
      <c r="E23" s="85">
        <f t="shared" si="1"/>
        <v>1.4415376401495024E-2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320.7</v>
      </c>
      <c r="C24" s="88">
        <v>61.21</v>
      </c>
      <c r="D24" s="89">
        <f t="shared" si="0"/>
        <v>259.49</v>
      </c>
      <c r="E24" s="85">
        <f t="shared" si="1"/>
        <v>-2.7772313859929999E-2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334.37</v>
      </c>
      <c r="C25" s="88">
        <v>62.98</v>
      </c>
      <c r="D25" s="89">
        <f t="shared" si="0"/>
        <v>271.39</v>
      </c>
      <c r="E25" s="85">
        <f t="shared" si="1"/>
        <v>1.6813255776922328E-2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335.78</v>
      </c>
      <c r="C26" s="88">
        <v>61.16</v>
      </c>
      <c r="D26" s="89">
        <f t="shared" si="0"/>
        <v>274.62</v>
      </c>
      <c r="E26" s="85">
        <f t="shared" si="1"/>
        <v>2.8915053249782337E-2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328.3</v>
      </c>
      <c r="C27" s="88">
        <v>63.49</v>
      </c>
      <c r="D27" s="89">
        <f t="shared" si="0"/>
        <v>264.81</v>
      </c>
      <c r="E27" s="85">
        <f t="shared" si="1"/>
        <v>-7.839941551690122E-3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320.02999999999997</v>
      </c>
      <c r="C28" s="88">
        <v>62.97</v>
      </c>
      <c r="D28" s="89">
        <f t="shared" si="0"/>
        <v>257.05999999999995</v>
      </c>
      <c r="E28" s="85">
        <f t="shared" si="1"/>
        <v>-3.6876762113505983E-2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322.11</v>
      </c>
      <c r="C29" s="88">
        <v>62.91</v>
      </c>
      <c r="D29" s="89">
        <f t="shared" si="0"/>
        <v>259.20000000000005</v>
      </c>
      <c r="E29" s="85">
        <f t="shared" si="1"/>
        <v>-2.8858852951920384E-2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333.62</v>
      </c>
      <c r="C30" s="88">
        <v>61.71</v>
      </c>
      <c r="D30" s="89">
        <f t="shared" si="0"/>
        <v>271.91000000000003</v>
      </c>
      <c r="E30" s="85">
        <f t="shared" si="1"/>
        <v>1.87615327694572E-2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327.05</v>
      </c>
      <c r="C31" s="88">
        <v>62.13</v>
      </c>
      <c r="D31" s="89">
        <f t="shared" si="0"/>
        <v>264.92</v>
      </c>
      <c r="E31" s="85">
        <f t="shared" si="1"/>
        <v>-7.4278060340384946E-3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317.27999999999997</v>
      </c>
      <c r="C32" s="88">
        <v>61.66</v>
      </c>
      <c r="D32" s="89">
        <f t="shared" si="0"/>
        <v>255.61999999999998</v>
      </c>
      <c r="E32" s="85">
        <f t="shared" si="1"/>
        <v>-4.2271990708217418E-2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312.01</v>
      </c>
      <c r="C33" s="88">
        <v>58.29</v>
      </c>
      <c r="D33" s="89">
        <f t="shared" si="0"/>
        <v>253.72</v>
      </c>
      <c r="E33" s="85">
        <f t="shared" si="1"/>
        <v>-4.93906951040173E-2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333.58</v>
      </c>
      <c r="C34" s="88">
        <v>61.24</v>
      </c>
      <c r="D34" s="89">
        <f t="shared" si="0"/>
        <v>272.33999999999997</v>
      </c>
      <c r="E34" s="85">
        <f t="shared" si="1"/>
        <v>2.0372607974822269E-2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336.97</v>
      </c>
      <c r="C35" s="88">
        <v>58.82</v>
      </c>
      <c r="D35" s="89">
        <f t="shared" si="0"/>
        <v>278.15000000000003</v>
      </c>
      <c r="E35" s="85">
        <f t="shared" si="1"/>
        <v>4.214085667987396E-2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337.84</v>
      </c>
      <c r="C36" s="88">
        <v>61.4</v>
      </c>
      <c r="D36" s="89">
        <f t="shared" si="0"/>
        <v>276.44</v>
      </c>
      <c r="E36" s="85">
        <f t="shared" si="1"/>
        <v>3.5734022723653856E-2</v>
      </c>
      <c r="G36" s="66"/>
      <c r="H36" s="66"/>
    </row>
    <row r="37" spans="1:15" ht="15" x14ac:dyDescent="0.3">
      <c r="A37" s="86">
        <v>17</v>
      </c>
      <c r="B37" s="90">
        <v>335.69</v>
      </c>
      <c r="C37" s="88">
        <v>61.37</v>
      </c>
      <c r="D37" s="89">
        <f t="shared" si="0"/>
        <v>274.32</v>
      </c>
      <c r="E37" s="85">
        <f t="shared" si="1"/>
        <v>2.7791047292550723E-2</v>
      </c>
    </row>
    <row r="38" spans="1:15" ht="15" x14ac:dyDescent="0.3">
      <c r="A38" s="86">
        <v>18</v>
      </c>
      <c r="B38" s="90">
        <v>319.54000000000002</v>
      </c>
      <c r="C38" s="88">
        <v>58.36</v>
      </c>
      <c r="D38" s="89">
        <f t="shared" si="0"/>
        <v>261.18</v>
      </c>
      <c r="E38" s="85">
        <f t="shared" si="1"/>
        <v>-2.1440413634192145E-2</v>
      </c>
    </row>
    <row r="39" spans="1:15" ht="15" x14ac:dyDescent="0.3">
      <c r="A39" s="86">
        <v>19</v>
      </c>
      <c r="B39" s="90">
        <v>321.91000000000003</v>
      </c>
      <c r="C39" s="88">
        <v>61.19</v>
      </c>
      <c r="D39" s="89">
        <f t="shared" si="0"/>
        <v>260.72000000000003</v>
      </c>
      <c r="E39" s="85">
        <f t="shared" si="1"/>
        <v>-2.3163889435280478E-2</v>
      </c>
    </row>
    <row r="40" spans="1:15" ht="14.25" customHeight="1" x14ac:dyDescent="0.3">
      <c r="A40" s="91">
        <v>20</v>
      </c>
      <c r="B40" s="92">
        <v>335.15</v>
      </c>
      <c r="C40" s="93">
        <v>62.95</v>
      </c>
      <c r="D40" s="94">
        <f t="shared" si="0"/>
        <v>272.2</v>
      </c>
      <c r="E40" s="95">
        <f t="shared" si="1"/>
        <v>1.9848071861447585E-2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6566.5599999999995</v>
      </c>
      <c r="C42" s="98">
        <f>SUM(C21:C40)</f>
        <v>1228.51</v>
      </c>
      <c r="D42" s="99">
        <f>SUM(D21:D40)</f>
        <v>5338.0499999999993</v>
      </c>
    </row>
    <row r="43" spans="1:15" ht="15.75" customHeight="1" x14ac:dyDescent="0.3">
      <c r="A43" s="100" t="s">
        <v>45</v>
      </c>
      <c r="B43" s="101">
        <f>AVERAGE(B21:B40)</f>
        <v>328.32799999999997</v>
      </c>
      <c r="C43" s="102">
        <f>AVERAGE(C21:C40)</f>
        <v>61.4255</v>
      </c>
      <c r="D43" s="103">
        <f>AVERAGE(D21:D40)</f>
        <v>266.90249999999997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306">
        <f>D43</f>
        <v>266.90249999999997</v>
      </c>
      <c r="C47" s="107">
        <f>-(IF(D43&gt;300, 7.5%, 10%))</f>
        <v>-0.1</v>
      </c>
      <c r="D47" s="108">
        <f>IF(D43&lt;300, D43*0.9, D43*0.925)</f>
        <v>240.21224999999998</v>
      </c>
    </row>
    <row r="48" spans="1:15" ht="15.75" customHeight="1" x14ac:dyDescent="0.3">
      <c r="B48" s="307"/>
      <c r="C48" s="109">
        <f>+(IF(D43&gt;300, 7.5%, 10%))</f>
        <v>0.1</v>
      </c>
      <c r="D48" s="108">
        <f>IF(D43&lt;300, D43*1.1, D43*1.075)</f>
        <v>293.59275000000002</v>
      </c>
    </row>
    <row r="49" spans="1:7" ht="14.25" customHeight="1" x14ac:dyDescent="0.3">
      <c r="A49" s="110"/>
      <c r="D49" s="111"/>
    </row>
    <row r="50" spans="1:7" ht="15" customHeight="1" x14ac:dyDescent="0.3">
      <c r="B50" s="300" t="s">
        <v>25</v>
      </c>
      <c r="C50" s="300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 t="s">
        <v>119</v>
      </c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Layout" zoomScale="50" zoomScaleNormal="75" zoomScalePageLayoutView="50" workbookViewId="0">
      <selection activeCell="B93" sqref="B9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336" t="s">
        <v>47</v>
      </c>
      <c r="B1" s="336"/>
      <c r="C1" s="336"/>
      <c r="D1" s="336"/>
      <c r="E1" s="336"/>
      <c r="F1" s="336"/>
      <c r="G1" s="336"/>
      <c r="H1" s="336"/>
    </row>
    <row r="2" spans="1:8" x14ac:dyDescent="0.25">
      <c r="A2" s="336"/>
      <c r="B2" s="336"/>
      <c r="C2" s="336"/>
      <c r="D2" s="336"/>
      <c r="E2" s="336"/>
      <c r="F2" s="336"/>
      <c r="G2" s="336"/>
      <c r="H2" s="336"/>
    </row>
    <row r="3" spans="1:8" x14ac:dyDescent="0.25">
      <c r="A3" s="336"/>
      <c r="B3" s="336"/>
      <c r="C3" s="336"/>
      <c r="D3" s="336"/>
      <c r="E3" s="336"/>
      <c r="F3" s="336"/>
      <c r="G3" s="336"/>
      <c r="H3" s="336"/>
    </row>
    <row r="4" spans="1:8" x14ac:dyDescent="0.25">
      <c r="A4" s="336"/>
      <c r="B4" s="336"/>
      <c r="C4" s="336"/>
      <c r="D4" s="336"/>
      <c r="E4" s="336"/>
      <c r="F4" s="336"/>
      <c r="G4" s="336"/>
      <c r="H4" s="336"/>
    </row>
    <row r="5" spans="1:8" x14ac:dyDescent="0.25">
      <c r="A5" s="336"/>
      <c r="B5" s="336"/>
      <c r="C5" s="336"/>
      <c r="D5" s="336"/>
      <c r="E5" s="336"/>
      <c r="F5" s="336"/>
      <c r="G5" s="336"/>
      <c r="H5" s="336"/>
    </row>
    <row r="6" spans="1:8" x14ac:dyDescent="0.25">
      <c r="A6" s="336"/>
      <c r="B6" s="336"/>
      <c r="C6" s="336"/>
      <c r="D6" s="336"/>
      <c r="E6" s="336"/>
      <c r="F6" s="336"/>
      <c r="G6" s="336"/>
      <c r="H6" s="336"/>
    </row>
    <row r="7" spans="1:8" x14ac:dyDescent="0.25">
      <c r="A7" s="336"/>
      <c r="B7" s="336"/>
      <c r="C7" s="336"/>
      <c r="D7" s="336"/>
      <c r="E7" s="336"/>
      <c r="F7" s="336"/>
      <c r="G7" s="336"/>
      <c r="H7" s="336"/>
    </row>
    <row r="8" spans="1:8" x14ac:dyDescent="0.25">
      <c r="A8" s="337" t="s">
        <v>48</v>
      </c>
      <c r="B8" s="337"/>
      <c r="C8" s="337"/>
      <c r="D8" s="337"/>
      <c r="E8" s="337"/>
      <c r="F8" s="337"/>
      <c r="G8" s="337"/>
      <c r="H8" s="337"/>
    </row>
    <row r="9" spans="1:8" x14ac:dyDescent="0.25">
      <c r="A9" s="337"/>
      <c r="B9" s="337"/>
      <c r="C9" s="337"/>
      <c r="D9" s="337"/>
      <c r="E9" s="337"/>
      <c r="F9" s="337"/>
      <c r="G9" s="337"/>
      <c r="H9" s="337"/>
    </row>
    <row r="10" spans="1:8" x14ac:dyDescent="0.25">
      <c r="A10" s="337"/>
      <c r="B10" s="337"/>
      <c r="C10" s="337"/>
      <c r="D10" s="337"/>
      <c r="E10" s="337"/>
      <c r="F10" s="337"/>
      <c r="G10" s="337"/>
      <c r="H10" s="337"/>
    </row>
    <row r="11" spans="1:8" x14ac:dyDescent="0.25">
      <c r="A11" s="337"/>
      <c r="B11" s="337"/>
      <c r="C11" s="337"/>
      <c r="D11" s="337"/>
      <c r="E11" s="337"/>
      <c r="F11" s="337"/>
      <c r="G11" s="337"/>
      <c r="H11" s="337"/>
    </row>
    <row r="12" spans="1:8" x14ac:dyDescent="0.25">
      <c r="A12" s="337"/>
      <c r="B12" s="337"/>
      <c r="C12" s="337"/>
      <c r="D12" s="337"/>
      <c r="E12" s="337"/>
      <c r="F12" s="337"/>
      <c r="G12" s="337"/>
      <c r="H12" s="337"/>
    </row>
    <row r="13" spans="1:8" x14ac:dyDescent="0.25">
      <c r="A13" s="337"/>
      <c r="B13" s="337"/>
      <c r="C13" s="337"/>
      <c r="D13" s="337"/>
      <c r="E13" s="337"/>
      <c r="F13" s="337"/>
      <c r="G13" s="337"/>
      <c r="H13" s="337"/>
    </row>
    <row r="14" spans="1:8" x14ac:dyDescent="0.25">
      <c r="A14" s="337"/>
      <c r="B14" s="337"/>
      <c r="C14" s="337"/>
      <c r="D14" s="337"/>
      <c r="E14" s="337"/>
      <c r="F14" s="337"/>
      <c r="G14" s="337"/>
      <c r="H14" s="337"/>
    </row>
    <row r="15" spans="1:8" ht="19.5" customHeight="1" x14ac:dyDescent="0.25"/>
    <row r="16" spans="1:8" ht="19.5" customHeight="1" x14ac:dyDescent="0.25">
      <c r="A16" s="338" t="s">
        <v>30</v>
      </c>
      <c r="B16" s="339"/>
      <c r="C16" s="339"/>
      <c r="D16" s="339"/>
      <c r="E16" s="339"/>
      <c r="F16" s="339"/>
      <c r="G16" s="339"/>
      <c r="H16" s="340"/>
    </row>
    <row r="17" spans="1:13" ht="18.75" x14ac:dyDescent="0.3">
      <c r="A17" s="119" t="s">
        <v>49</v>
      </c>
      <c r="B17" s="119"/>
    </row>
    <row r="18" spans="1:13" ht="18.75" x14ac:dyDescent="0.3">
      <c r="A18" s="121" t="s">
        <v>32</v>
      </c>
      <c r="B18" s="342" t="s">
        <v>5</v>
      </c>
      <c r="C18" s="342"/>
      <c r="D18" s="212"/>
      <c r="E18" s="212"/>
    </row>
    <row r="19" spans="1:13" ht="18.75" x14ac:dyDescent="0.3">
      <c r="A19" s="121" t="s">
        <v>33</v>
      </c>
      <c r="B19" s="213" t="s">
        <v>7</v>
      </c>
      <c r="C19" s="297">
        <v>15</v>
      </c>
    </row>
    <row r="20" spans="1:13" ht="18.75" x14ac:dyDescent="0.3">
      <c r="A20" s="121" t="s">
        <v>34</v>
      </c>
      <c r="B20" s="213" t="s">
        <v>9</v>
      </c>
    </row>
    <row r="21" spans="1:13" ht="18.75" x14ac:dyDescent="0.3">
      <c r="A21" s="121" t="s">
        <v>35</v>
      </c>
      <c r="B21" s="238" t="s">
        <v>11</v>
      </c>
      <c r="C21" s="238"/>
      <c r="D21" s="238"/>
      <c r="E21" s="238"/>
      <c r="F21" s="238"/>
      <c r="G21" s="238"/>
      <c r="H21" s="238"/>
    </row>
    <row r="22" spans="1:13" ht="18.75" x14ac:dyDescent="0.3">
      <c r="A22" s="121" t="s">
        <v>36</v>
      </c>
      <c r="B22" s="214">
        <v>42186</v>
      </c>
    </row>
    <row r="23" spans="1:13" ht="18.75" x14ac:dyDescent="0.3">
      <c r="A23" s="121" t="s">
        <v>37</v>
      </c>
      <c r="B23" s="214">
        <v>42186</v>
      </c>
    </row>
    <row r="24" spans="1:13" ht="18.75" x14ac:dyDescent="0.3">
      <c r="A24" s="121"/>
      <c r="B24" s="124"/>
    </row>
    <row r="25" spans="1:13" ht="18.75" x14ac:dyDescent="0.3">
      <c r="A25" s="125" t="s">
        <v>1</v>
      </c>
      <c r="B25" s="124"/>
    </row>
    <row r="26" spans="1:13" ht="26.25" customHeight="1" x14ac:dyDescent="0.4">
      <c r="A26" s="126" t="s">
        <v>4</v>
      </c>
      <c r="B26" s="341" t="s">
        <v>120</v>
      </c>
      <c r="C26" s="341"/>
    </row>
    <row r="27" spans="1:13" ht="26.25" customHeight="1" x14ac:dyDescent="0.4">
      <c r="A27" s="128" t="s">
        <v>50</v>
      </c>
      <c r="B27" s="267" t="s">
        <v>121</v>
      </c>
    </row>
    <row r="28" spans="1:13" ht="27" customHeight="1" x14ac:dyDescent="0.4">
      <c r="A28" s="128" t="s">
        <v>6</v>
      </c>
      <c r="B28" s="268">
        <v>98.76</v>
      </c>
    </row>
    <row r="29" spans="1:13" s="11" customFormat="1" ht="27" customHeight="1" x14ac:dyDescent="0.4">
      <c r="A29" s="128" t="s">
        <v>51</v>
      </c>
      <c r="B29" s="267">
        <v>0</v>
      </c>
      <c r="C29" s="310" t="s">
        <v>52</v>
      </c>
      <c r="D29" s="311"/>
      <c r="E29" s="311"/>
      <c r="F29" s="311"/>
      <c r="G29" s="312"/>
      <c r="I29" s="130"/>
      <c r="J29" s="130"/>
      <c r="K29" s="130"/>
    </row>
    <row r="30" spans="1:13" s="11" customFormat="1" ht="19.5" customHeight="1" x14ac:dyDescent="0.3">
      <c r="A30" s="128" t="s">
        <v>53</v>
      </c>
      <c r="B30" s="127">
        <f>B28-B29</f>
        <v>98.76</v>
      </c>
      <c r="C30" s="131"/>
      <c r="D30" s="131"/>
      <c r="E30" s="131"/>
      <c r="F30" s="131"/>
      <c r="G30" s="132"/>
      <c r="I30" s="130"/>
      <c r="J30" s="130"/>
      <c r="K30" s="130"/>
    </row>
    <row r="31" spans="1:13" s="11" customFormat="1" ht="27" customHeight="1" x14ac:dyDescent="0.4">
      <c r="A31" s="128" t="s">
        <v>54</v>
      </c>
      <c r="B31" s="269">
        <v>1</v>
      </c>
      <c r="C31" s="315" t="s">
        <v>55</v>
      </c>
      <c r="D31" s="316"/>
      <c r="E31" s="316"/>
      <c r="F31" s="316"/>
      <c r="G31" s="316"/>
      <c r="H31" s="317"/>
      <c r="I31" s="130"/>
      <c r="J31" s="130"/>
      <c r="K31" s="130"/>
    </row>
    <row r="32" spans="1:13" s="11" customFormat="1" ht="27" customHeight="1" x14ac:dyDescent="0.4">
      <c r="A32" s="128" t="s">
        <v>56</v>
      </c>
      <c r="B32" s="269">
        <v>1</v>
      </c>
      <c r="C32" s="315" t="s">
        <v>57</v>
      </c>
      <c r="D32" s="316"/>
      <c r="E32" s="316"/>
      <c r="F32" s="316"/>
      <c r="G32" s="316"/>
      <c r="H32" s="317"/>
      <c r="I32" s="130"/>
      <c r="J32" s="130"/>
      <c r="K32" s="134"/>
      <c r="L32" s="134"/>
      <c r="M32" s="135"/>
    </row>
    <row r="33" spans="1:13" s="11" customFormat="1" ht="17.25" customHeight="1" x14ac:dyDescent="0.3">
      <c r="A33" s="128"/>
      <c r="B33" s="133"/>
      <c r="C33" s="136"/>
      <c r="D33" s="136"/>
      <c r="E33" s="136"/>
      <c r="F33" s="136"/>
      <c r="G33" s="136"/>
      <c r="H33" s="136"/>
      <c r="I33" s="130"/>
      <c r="J33" s="130"/>
      <c r="K33" s="134"/>
      <c r="L33" s="134"/>
      <c r="M33" s="135"/>
    </row>
    <row r="34" spans="1:13" s="11" customFormat="1" ht="18.75" x14ac:dyDescent="0.3">
      <c r="A34" s="128" t="s">
        <v>58</v>
      </c>
      <c r="B34" s="137">
        <f>B31/B32</f>
        <v>1</v>
      </c>
      <c r="C34" s="120" t="s">
        <v>59</v>
      </c>
      <c r="D34" s="120"/>
      <c r="E34" s="120"/>
      <c r="F34" s="120"/>
      <c r="G34" s="120"/>
      <c r="I34" s="130"/>
      <c r="J34" s="130"/>
      <c r="K34" s="134"/>
      <c r="L34" s="134"/>
      <c r="M34" s="135"/>
    </row>
    <row r="35" spans="1:13" s="11" customFormat="1" ht="19.5" customHeight="1" x14ac:dyDescent="0.3">
      <c r="A35" s="128"/>
      <c r="B35" s="127"/>
      <c r="G35" s="120"/>
      <c r="I35" s="130"/>
      <c r="J35" s="130"/>
      <c r="K35" s="134"/>
      <c r="L35" s="134"/>
      <c r="M35" s="135"/>
    </row>
    <row r="36" spans="1:13" s="11" customFormat="1" ht="27" customHeight="1" x14ac:dyDescent="0.4">
      <c r="A36" s="138" t="s">
        <v>60</v>
      </c>
      <c r="B36" s="270">
        <v>100</v>
      </c>
      <c r="C36" s="120"/>
      <c r="D36" s="313" t="s">
        <v>61</v>
      </c>
      <c r="E36" s="325"/>
      <c r="F36" s="313" t="s">
        <v>62</v>
      </c>
      <c r="G36" s="314"/>
      <c r="I36" s="130"/>
      <c r="J36" s="130"/>
      <c r="K36" s="134"/>
      <c r="L36" s="134"/>
      <c r="M36" s="135"/>
    </row>
    <row r="37" spans="1:13" s="11" customFormat="1" ht="26.25" customHeight="1" x14ac:dyDescent="0.4">
      <c r="A37" s="139" t="s">
        <v>63</v>
      </c>
      <c r="B37" s="271">
        <v>5</v>
      </c>
      <c r="C37" s="141" t="s">
        <v>64</v>
      </c>
      <c r="D37" s="142" t="s">
        <v>65</v>
      </c>
      <c r="E37" s="199" t="s">
        <v>66</v>
      </c>
      <c r="F37" s="142" t="s">
        <v>65</v>
      </c>
      <c r="G37" s="143" t="s">
        <v>66</v>
      </c>
      <c r="I37" s="130"/>
      <c r="J37" s="130"/>
      <c r="K37" s="134"/>
      <c r="L37" s="134"/>
      <c r="M37" s="135"/>
    </row>
    <row r="38" spans="1:13" s="11" customFormat="1" ht="26.25" customHeight="1" x14ac:dyDescent="0.4">
      <c r="A38" s="139" t="s">
        <v>67</v>
      </c>
      <c r="B38" s="271">
        <v>50</v>
      </c>
      <c r="C38" s="144">
        <v>1</v>
      </c>
      <c r="D38" s="272">
        <v>132819883</v>
      </c>
      <c r="E38" s="215">
        <f>IF(ISBLANK(D38),"-",$D$48/$D$45*D38)</f>
        <v>125689278.83323301</v>
      </c>
      <c r="F38" s="272">
        <v>84355937</v>
      </c>
      <c r="G38" s="218">
        <f>IF(ISBLANK(F38),"-",$D$48/$F$45*F38)</f>
        <v>126854085.21107274</v>
      </c>
      <c r="I38" s="130"/>
      <c r="J38" s="130"/>
      <c r="K38" s="134"/>
      <c r="L38" s="134"/>
      <c r="M38" s="135"/>
    </row>
    <row r="39" spans="1:13" s="11" customFormat="1" ht="26.25" customHeight="1" x14ac:dyDescent="0.4">
      <c r="A39" s="139" t="s">
        <v>68</v>
      </c>
      <c r="B39" s="271">
        <v>1</v>
      </c>
      <c r="C39" s="140">
        <v>2</v>
      </c>
      <c r="D39" s="273">
        <v>132802741</v>
      </c>
      <c r="E39" s="216">
        <f>IF(ISBLANK(D39),"-",$D$48/$D$45*D39)</f>
        <v>125673057.12328196</v>
      </c>
      <c r="F39" s="273">
        <v>84420399</v>
      </c>
      <c r="G39" s="219">
        <f>IF(ISBLANK(F39),"-",$D$48/$F$45*F39)</f>
        <v>126951022.88175353</v>
      </c>
      <c r="I39" s="130"/>
      <c r="J39" s="130"/>
      <c r="K39" s="134"/>
      <c r="L39" s="134"/>
      <c r="M39" s="135"/>
    </row>
    <row r="40" spans="1:13" ht="26.25" customHeight="1" x14ac:dyDescent="0.4">
      <c r="A40" s="139" t="s">
        <v>69</v>
      </c>
      <c r="B40" s="271">
        <v>1</v>
      </c>
      <c r="C40" s="140">
        <v>3</v>
      </c>
      <c r="D40" s="273">
        <v>132793186</v>
      </c>
      <c r="E40" s="216">
        <f>IF(ISBLANK(D40),"-",$D$48/$D$45*D40)</f>
        <v>125664015.09559661</v>
      </c>
      <c r="F40" s="273">
        <v>84271112</v>
      </c>
      <c r="G40" s="219">
        <f>IF(ISBLANK(F40),"-",$D$48/$F$45*F40)</f>
        <v>126726525.7509955</v>
      </c>
      <c r="K40" s="134"/>
      <c r="L40" s="134"/>
      <c r="M40" s="146"/>
    </row>
    <row r="41" spans="1:13" ht="26.25" customHeight="1" x14ac:dyDescent="0.4">
      <c r="A41" s="139" t="s">
        <v>70</v>
      </c>
      <c r="B41" s="271">
        <v>1</v>
      </c>
      <c r="C41" s="147">
        <v>4</v>
      </c>
      <c r="D41" s="274"/>
      <c r="E41" s="217" t="str">
        <f>IF(ISBLANK(D41),"-",$D$48/$D$45*D41)</f>
        <v>-</v>
      </c>
      <c r="F41" s="274"/>
      <c r="G41" s="220" t="str">
        <f>IF(ISBLANK(F41),"-",$D$48/$F$45*F41)</f>
        <v>-</v>
      </c>
      <c r="K41" s="134"/>
      <c r="L41" s="134"/>
      <c r="M41" s="146"/>
    </row>
    <row r="42" spans="1:13" ht="27" customHeight="1" x14ac:dyDescent="0.4">
      <c r="A42" s="139" t="s">
        <v>71</v>
      </c>
      <c r="B42" s="271">
        <v>1</v>
      </c>
      <c r="C42" s="149" t="s">
        <v>72</v>
      </c>
      <c r="D42" s="249">
        <f>AVERAGE(D38:D41)</f>
        <v>132805270</v>
      </c>
      <c r="E42" s="174">
        <f>AVERAGE(E38:E41)</f>
        <v>125675450.35070385</v>
      </c>
      <c r="F42" s="150">
        <f>AVERAGE(F38:F41)</f>
        <v>84349149.333333328</v>
      </c>
      <c r="G42" s="151">
        <f>AVERAGE(G38:G41)</f>
        <v>126843877.94794059</v>
      </c>
      <c r="H42" s="235"/>
    </row>
    <row r="43" spans="1:13" ht="26.25" customHeight="1" x14ac:dyDescent="0.4">
      <c r="A43" s="139" t="s">
        <v>73</v>
      </c>
      <c r="B43" s="268">
        <v>1</v>
      </c>
      <c r="C43" s="250" t="s">
        <v>74</v>
      </c>
      <c r="D43" s="275">
        <v>12.84</v>
      </c>
      <c r="E43" s="146"/>
      <c r="F43" s="276">
        <v>8.08</v>
      </c>
      <c r="H43" s="235"/>
    </row>
    <row r="44" spans="1:13" ht="26.25" customHeight="1" x14ac:dyDescent="0.4">
      <c r="A44" s="139" t="s">
        <v>75</v>
      </c>
      <c r="B44" s="268">
        <v>1</v>
      </c>
      <c r="C44" s="251" t="s">
        <v>76</v>
      </c>
      <c r="D44" s="252">
        <f>D43*$B$34</f>
        <v>12.84</v>
      </c>
      <c r="E44" s="153"/>
      <c r="F44" s="152">
        <f>F43*$B$34</f>
        <v>8.08</v>
      </c>
      <c r="H44" s="235"/>
    </row>
    <row r="45" spans="1:13" ht="19.5" customHeight="1" x14ac:dyDescent="0.3">
      <c r="A45" s="139" t="s">
        <v>77</v>
      </c>
      <c r="B45" s="248">
        <f>(B44/B43)*(B42/B41)*(B40/B39)*(B38/B37)*B36</f>
        <v>1000</v>
      </c>
      <c r="C45" s="251" t="s">
        <v>78</v>
      </c>
      <c r="D45" s="253">
        <f>D44*$B$30/100</f>
        <v>12.680784000000001</v>
      </c>
      <c r="E45" s="155"/>
      <c r="F45" s="154">
        <f>F44*$B$30/100</f>
        <v>7.9798080000000002</v>
      </c>
      <c r="H45" s="235"/>
    </row>
    <row r="46" spans="1:13" ht="19.5" customHeight="1" x14ac:dyDescent="0.3">
      <c r="A46" s="326" t="s">
        <v>79</v>
      </c>
      <c r="B46" s="330"/>
      <c r="C46" s="251" t="s">
        <v>80</v>
      </c>
      <c r="D46" s="252">
        <f>D45/$B$45</f>
        <v>1.2680784E-2</v>
      </c>
      <c r="E46" s="155"/>
      <c r="F46" s="156">
        <f>F45/$B$45</f>
        <v>7.9798079999999997E-3</v>
      </c>
      <c r="H46" s="235"/>
    </row>
    <row r="47" spans="1:13" ht="27" customHeight="1" x14ac:dyDescent="0.4">
      <c r="A47" s="328"/>
      <c r="B47" s="331"/>
      <c r="C47" s="251" t="s">
        <v>81</v>
      </c>
      <c r="D47" s="277">
        <v>1.2E-2</v>
      </c>
      <c r="F47" s="158"/>
      <c r="H47" s="235"/>
    </row>
    <row r="48" spans="1:13" ht="18.75" x14ac:dyDescent="0.3">
      <c r="C48" s="251" t="s">
        <v>82</v>
      </c>
      <c r="D48" s="252">
        <f>D47*$B$45</f>
        <v>12</v>
      </c>
      <c r="F48" s="158"/>
      <c r="H48" s="235"/>
    </row>
    <row r="49" spans="1:11" ht="19.5" customHeight="1" x14ac:dyDescent="0.3">
      <c r="C49" s="254" t="s">
        <v>83</v>
      </c>
      <c r="D49" s="255">
        <f>D48/B34</f>
        <v>12</v>
      </c>
      <c r="F49" s="161"/>
      <c r="H49" s="235"/>
    </row>
    <row r="50" spans="1:11" ht="18.75" x14ac:dyDescent="0.3">
      <c r="C50" s="256" t="s">
        <v>84</v>
      </c>
      <c r="D50" s="257">
        <f>AVERAGE(E38:E41,G38:G41)</f>
        <v>126259664.14932223</v>
      </c>
      <c r="F50" s="161"/>
      <c r="H50" s="235"/>
    </row>
    <row r="51" spans="1:11" ht="18.75" x14ac:dyDescent="0.3">
      <c r="C51" s="157" t="s">
        <v>85</v>
      </c>
      <c r="D51" s="162">
        <f>STDEV(E38:E41,G38:G41)/D50</f>
        <v>5.100400492325385E-3</v>
      </c>
      <c r="F51" s="161"/>
    </row>
    <row r="52" spans="1:11" ht="19.5" customHeight="1" x14ac:dyDescent="0.3">
      <c r="C52" s="159" t="s">
        <v>19</v>
      </c>
      <c r="D52" s="163">
        <f>COUNT(E38:E41,G38:G41)</f>
        <v>6</v>
      </c>
      <c r="F52" s="161"/>
    </row>
    <row r="54" spans="1:11" ht="18.75" x14ac:dyDescent="0.3">
      <c r="A54" s="119" t="s">
        <v>1</v>
      </c>
      <c r="B54" s="164" t="s">
        <v>86</v>
      </c>
    </row>
    <row r="55" spans="1:11" ht="18.75" x14ac:dyDescent="0.3">
      <c r="A55" s="120" t="s">
        <v>87</v>
      </c>
      <c r="B55" s="123" t="str">
        <f>B21</f>
        <v>Each tablet contains: Omeprazole delayed Release USP 20 mg</v>
      </c>
    </row>
    <row r="56" spans="1:11" ht="26.25" customHeight="1" x14ac:dyDescent="0.4">
      <c r="A56" s="122" t="s">
        <v>88</v>
      </c>
      <c r="B56" s="267">
        <v>20</v>
      </c>
      <c r="C56" s="120" t="str">
        <f>B20</f>
        <v>OMEPRAZOLE USP</v>
      </c>
      <c r="H56" s="129"/>
    </row>
    <row r="57" spans="1:11" ht="18.75" x14ac:dyDescent="0.3">
      <c r="A57" s="123" t="s">
        <v>89</v>
      </c>
      <c r="B57" s="298">
        <f>Uniformity!D43</f>
        <v>266.90249999999997</v>
      </c>
      <c r="H57" s="129"/>
    </row>
    <row r="58" spans="1:11" ht="19.5" customHeight="1" x14ac:dyDescent="0.3">
      <c r="H58" s="129"/>
    </row>
    <row r="59" spans="1:11" s="11" customFormat="1" ht="27" customHeight="1" x14ac:dyDescent="0.4">
      <c r="A59" s="138" t="s">
        <v>90</v>
      </c>
      <c r="B59" s="270">
        <v>50</v>
      </c>
      <c r="C59" s="120"/>
      <c r="D59" s="166" t="s">
        <v>91</v>
      </c>
      <c r="E59" s="165" t="s">
        <v>92</v>
      </c>
      <c r="F59" s="165" t="s">
        <v>65</v>
      </c>
      <c r="G59" s="165" t="s">
        <v>93</v>
      </c>
      <c r="H59" s="141" t="s">
        <v>94</v>
      </c>
      <c r="K59" s="130"/>
    </row>
    <row r="60" spans="1:11" s="11" customFormat="1" ht="22.5" customHeight="1" x14ac:dyDescent="0.4">
      <c r="A60" s="139" t="s">
        <v>95</v>
      </c>
      <c r="B60" s="271">
        <v>3</v>
      </c>
      <c r="C60" s="318" t="s">
        <v>96</v>
      </c>
      <c r="D60" s="322">
        <v>266.58999999999997</v>
      </c>
      <c r="E60" s="167">
        <v>1</v>
      </c>
      <c r="F60" s="279">
        <v>123118731</v>
      </c>
      <c r="G60" s="203">
        <f>IF(ISBLANK(F60),"-",(F60/$D$50*$D$47*$B$68)*($B$57/$D$60))</f>
        <v>19.525325540146103</v>
      </c>
      <c r="H60" s="205">
        <f>IF(ISBLANK(F60),"-",G60/$B$56)</f>
        <v>0.97626627700730517</v>
      </c>
      <c r="K60" s="130"/>
    </row>
    <row r="61" spans="1:11" s="11" customFormat="1" ht="26.25" customHeight="1" x14ac:dyDescent="0.4">
      <c r="A61" s="139" t="s">
        <v>97</v>
      </c>
      <c r="B61" s="271">
        <v>100</v>
      </c>
      <c r="C61" s="319"/>
      <c r="D61" s="323"/>
      <c r="E61" s="168">
        <v>2</v>
      </c>
      <c r="F61" s="273">
        <v>122802881</v>
      </c>
      <c r="G61" s="204">
        <f>IF(ISBLANK(F61),"-",(F61/$D$50*$D$47*$B$68)*($B$57/$D$60))</f>
        <v>19.475235078509886</v>
      </c>
      <c r="H61" s="206">
        <f t="shared" ref="H60:H71" si="0">IF(ISBLANK(F61),"-",G61/$B$56)</f>
        <v>0.97376175392549436</v>
      </c>
      <c r="K61" s="130"/>
    </row>
    <row r="62" spans="1:11" s="11" customFormat="1" ht="26.25" customHeight="1" x14ac:dyDescent="0.4">
      <c r="A62" s="139" t="s">
        <v>98</v>
      </c>
      <c r="B62" s="271">
        <v>1</v>
      </c>
      <c r="C62" s="319"/>
      <c r="D62" s="323"/>
      <c r="E62" s="168">
        <v>3</v>
      </c>
      <c r="F62" s="273">
        <v>122792141</v>
      </c>
      <c r="G62" s="204">
        <f>IF(ISBLANK(F62),"-",(F62/$D$50*$D$47*$B$68)*($B$57/$D$60))</f>
        <v>19.473531828365918</v>
      </c>
      <c r="H62" s="206">
        <f t="shared" si="0"/>
        <v>0.97367659141829588</v>
      </c>
      <c r="K62" s="130"/>
    </row>
    <row r="63" spans="1:11" ht="21" customHeight="1" x14ac:dyDescent="0.4">
      <c r="A63" s="139" t="s">
        <v>99</v>
      </c>
      <c r="B63" s="271">
        <v>1</v>
      </c>
      <c r="C63" s="320"/>
      <c r="D63" s="324"/>
      <c r="E63" s="169">
        <v>4</v>
      </c>
      <c r="F63" s="280"/>
      <c r="G63" s="204" t="str">
        <f>IF(ISBLANK(F63),"-",(F63/$D$50*$D$47*$B$68)*($B$57/$D$60))</f>
        <v>-</v>
      </c>
      <c r="H63" s="206" t="str">
        <f t="shared" si="0"/>
        <v>-</v>
      </c>
    </row>
    <row r="64" spans="1:11" ht="26.25" customHeight="1" x14ac:dyDescent="0.4">
      <c r="A64" s="139" t="s">
        <v>100</v>
      </c>
      <c r="B64" s="271">
        <v>1</v>
      </c>
      <c r="C64" s="318" t="s">
        <v>101</v>
      </c>
      <c r="D64" s="322">
        <v>268.61</v>
      </c>
      <c r="E64" s="167">
        <v>1</v>
      </c>
      <c r="F64" s="279">
        <v>123176179</v>
      </c>
      <c r="G64" s="231">
        <f>IF(ISBLANK(F64),"-",(F64/$D$50*$D$47*$B$68)*($B$57/$D$64))</f>
        <v>19.387533383994214</v>
      </c>
      <c r="H64" s="228">
        <f>IF(ISBLANK(F64),"-",G64/$B$56)</f>
        <v>0.96937666919971066</v>
      </c>
    </row>
    <row r="65" spans="1:8" ht="26.25" customHeight="1" x14ac:dyDescent="0.4">
      <c r="A65" s="139" t="s">
        <v>102</v>
      </c>
      <c r="B65" s="271">
        <v>1</v>
      </c>
      <c r="C65" s="319"/>
      <c r="D65" s="323"/>
      <c r="E65" s="168">
        <v>2</v>
      </c>
      <c r="F65" s="273">
        <v>122664960</v>
      </c>
      <c r="G65" s="232">
        <f>IF(ISBLANK(F65),"-",(F65/$D$50*$D$47*$B$68)*($B$57/$D$64))</f>
        <v>19.307069161857299</v>
      </c>
      <c r="H65" s="229">
        <f t="shared" si="0"/>
        <v>0.96535345809286499</v>
      </c>
    </row>
    <row r="66" spans="1:8" ht="26.25" customHeight="1" x14ac:dyDescent="0.4">
      <c r="A66" s="139" t="s">
        <v>103</v>
      </c>
      <c r="B66" s="271">
        <v>1</v>
      </c>
      <c r="C66" s="319"/>
      <c r="D66" s="323"/>
      <c r="E66" s="168">
        <v>3</v>
      </c>
      <c r="F66" s="273">
        <v>122821738</v>
      </c>
      <c r="G66" s="232">
        <f>IF(ISBLANK(F66),"-",(F66/$D$50*$D$47*$B$68)*($B$57/$D$64))</f>
        <v>19.331745513515159</v>
      </c>
      <c r="H66" s="229">
        <f t="shared" si="0"/>
        <v>0.96658727567575797</v>
      </c>
    </row>
    <row r="67" spans="1:8" ht="21" customHeight="1" x14ac:dyDescent="0.4">
      <c r="A67" s="139" t="s">
        <v>104</v>
      </c>
      <c r="B67" s="271">
        <v>1</v>
      </c>
      <c r="C67" s="320"/>
      <c r="D67" s="324"/>
      <c r="E67" s="169">
        <v>4</v>
      </c>
      <c r="F67" s="280"/>
      <c r="G67" s="233" t="str">
        <f>IF(ISBLANK(F67),"-",(F67/$D$50*$D$47*$B$68)*($B$57/$D$64))</f>
        <v>-</v>
      </c>
      <c r="H67" s="230" t="str">
        <f t="shared" si="0"/>
        <v>-</v>
      </c>
    </row>
    <row r="68" spans="1:8" ht="21.75" customHeight="1" x14ac:dyDescent="0.4">
      <c r="A68" s="139" t="s">
        <v>105</v>
      </c>
      <c r="B68" s="240">
        <f>(B67/B66)*(B65/B64)*(B63/B62)*(B61/B60)*B59</f>
        <v>1666.6666666666667</v>
      </c>
      <c r="C68" s="318" t="s">
        <v>106</v>
      </c>
      <c r="D68" s="322">
        <v>267.68</v>
      </c>
      <c r="E68" s="167">
        <v>1</v>
      </c>
      <c r="F68" s="279">
        <v>122701098</v>
      </c>
      <c r="G68" s="231">
        <f>IF(ISBLANK(F68),"-",(F68/$D$50*$D$47*$B$68)*($B$57/$D$68))</f>
        <v>19.379855433730569</v>
      </c>
      <c r="H68" s="206">
        <f>IF(ISBLANK(F68),"-",G68/$B$56)</f>
        <v>0.96899277168652842</v>
      </c>
    </row>
    <row r="69" spans="1:8" ht="21.75" customHeight="1" x14ac:dyDescent="0.4">
      <c r="A69" s="258" t="s">
        <v>107</v>
      </c>
      <c r="B69" s="278">
        <f>D47*B68/B56*B57</f>
        <v>266.90249999999997</v>
      </c>
      <c r="C69" s="319"/>
      <c r="D69" s="323"/>
      <c r="E69" s="168">
        <v>2</v>
      </c>
      <c r="F69" s="273">
        <v>122662233</v>
      </c>
      <c r="G69" s="232">
        <f>IF(ISBLANK(F69),"-",(F69/$D$50*$D$47*$B$68)*($B$57/$D$68))</f>
        <v>19.373716954990698</v>
      </c>
      <c r="H69" s="206">
        <f t="shared" si="0"/>
        <v>0.96868584774953492</v>
      </c>
    </row>
    <row r="70" spans="1:8" ht="22.5" customHeight="1" x14ac:dyDescent="0.4">
      <c r="A70" s="332" t="s">
        <v>79</v>
      </c>
      <c r="B70" s="333"/>
      <c r="C70" s="319"/>
      <c r="D70" s="323"/>
      <c r="E70" s="168">
        <v>3</v>
      </c>
      <c r="F70" s="273">
        <v>122731183</v>
      </c>
      <c r="G70" s="232">
        <f>IF(ISBLANK(F70),"-",(F70/$D$50*$D$47*$B$68)*($B$57/$D$68))</f>
        <v>19.384607167498459</v>
      </c>
      <c r="H70" s="206">
        <f t="shared" si="0"/>
        <v>0.96923035837492288</v>
      </c>
    </row>
    <row r="71" spans="1:8" ht="21.75" customHeight="1" x14ac:dyDescent="0.4">
      <c r="A71" s="334"/>
      <c r="B71" s="335"/>
      <c r="C71" s="321"/>
      <c r="D71" s="324"/>
      <c r="E71" s="169">
        <v>4</v>
      </c>
      <c r="F71" s="280"/>
      <c r="G71" s="233" t="str">
        <f>IF(ISBLANK(F71),"-",(F71/$D$50*$D$47*$B$68)*($B$57/$D$68))</f>
        <v>-</v>
      </c>
      <c r="H71" s="207" t="str">
        <f t="shared" si="0"/>
        <v>-</v>
      </c>
    </row>
    <row r="72" spans="1:8" ht="26.25" customHeight="1" x14ac:dyDescent="0.4">
      <c r="A72" s="170"/>
      <c r="B72" s="170"/>
      <c r="C72" s="170"/>
      <c r="D72" s="170"/>
      <c r="E72" s="170"/>
      <c r="F72" s="171"/>
      <c r="G72" s="160" t="s">
        <v>72</v>
      </c>
      <c r="H72" s="281">
        <f>AVERAGE(H60:H71)</f>
        <v>0.97021455590337957</v>
      </c>
    </row>
    <row r="73" spans="1:8" ht="26.25" customHeight="1" x14ac:dyDescent="0.4">
      <c r="C73" s="170"/>
      <c r="D73" s="170"/>
      <c r="E73" s="170"/>
      <c r="F73" s="171"/>
      <c r="G73" s="157" t="s">
        <v>85</v>
      </c>
      <c r="H73" s="282">
        <f>STDEV(H60:H71)/H72</f>
        <v>3.7069294307613123E-3</v>
      </c>
    </row>
    <row r="74" spans="1:8" ht="27" customHeight="1" x14ac:dyDescent="0.4">
      <c r="A74" s="170"/>
      <c r="B74" s="170"/>
      <c r="C74" s="171"/>
      <c r="D74" s="171"/>
      <c r="E74" s="172"/>
      <c r="F74" s="171"/>
      <c r="G74" s="159" t="s">
        <v>19</v>
      </c>
      <c r="H74" s="283">
        <f>COUNT(H60:H71)</f>
        <v>9</v>
      </c>
    </row>
    <row r="75" spans="1:8" ht="18.75" x14ac:dyDescent="0.3">
      <c r="A75" s="170"/>
      <c r="B75" s="170"/>
      <c r="C75" s="171"/>
      <c r="D75" s="171"/>
      <c r="E75" s="172"/>
      <c r="F75" s="171"/>
      <c r="G75" s="192"/>
      <c r="H75" s="247"/>
    </row>
    <row r="76" spans="1:8" ht="18.75" x14ac:dyDescent="0.3">
      <c r="A76" s="126" t="s">
        <v>108</v>
      </c>
      <c r="B76" s="264" t="s">
        <v>109</v>
      </c>
      <c r="C76" s="308" t="str">
        <f>B20</f>
        <v>OMEPRAZOLE USP</v>
      </c>
      <c r="D76" s="308"/>
      <c r="E76" s="265" t="s">
        <v>110</v>
      </c>
      <c r="F76" s="265"/>
      <c r="G76" s="266">
        <f>H72</f>
        <v>0.97021455590337957</v>
      </c>
      <c r="H76" s="247"/>
    </row>
    <row r="77" spans="1:8" ht="18.75" x14ac:dyDescent="0.3">
      <c r="A77" s="170"/>
      <c r="B77" s="170"/>
      <c r="C77" s="171"/>
      <c r="D77" s="171"/>
      <c r="E77" s="172"/>
      <c r="F77" s="171"/>
      <c r="G77" s="192"/>
      <c r="H77" s="247"/>
    </row>
    <row r="78" spans="1:8" ht="26.25" customHeight="1" x14ac:dyDescent="0.4">
      <c r="A78" s="125" t="s">
        <v>111</v>
      </c>
      <c r="B78" s="125" t="s">
        <v>112</v>
      </c>
      <c r="D78" s="287">
        <v>45</v>
      </c>
    </row>
    <row r="79" spans="1:8" ht="18.75" x14ac:dyDescent="0.3">
      <c r="A79" s="125"/>
      <c r="B79" s="125"/>
    </row>
    <row r="80" spans="1:8" ht="26.25" customHeight="1" x14ac:dyDescent="0.4">
      <c r="A80" s="126" t="s">
        <v>4</v>
      </c>
      <c r="B80" s="341" t="str">
        <f>B26</f>
        <v>Omeprazole</v>
      </c>
      <c r="C80" s="341"/>
    </row>
    <row r="81" spans="1:11" ht="26.25" customHeight="1" x14ac:dyDescent="0.4">
      <c r="A81" s="128" t="s">
        <v>50</v>
      </c>
      <c r="B81" s="267" t="str">
        <f>B27</f>
        <v>O14 1</v>
      </c>
    </row>
    <row r="82" spans="1:11" ht="27" customHeight="1" x14ac:dyDescent="0.4">
      <c r="A82" s="128" t="s">
        <v>6</v>
      </c>
      <c r="B82" s="267">
        <f>B28</f>
        <v>98.76</v>
      </c>
    </row>
    <row r="83" spans="1:11" s="11" customFormat="1" ht="27" customHeight="1" x14ac:dyDescent="0.4">
      <c r="A83" s="128" t="s">
        <v>51</v>
      </c>
      <c r="B83" s="267">
        <f>B29</f>
        <v>0</v>
      </c>
      <c r="C83" s="310" t="s">
        <v>52</v>
      </c>
      <c r="D83" s="311"/>
      <c r="E83" s="311"/>
      <c r="F83" s="311"/>
      <c r="G83" s="312"/>
      <c r="I83" s="130"/>
      <c r="J83" s="130"/>
      <c r="K83" s="130"/>
    </row>
    <row r="84" spans="1:11" s="11" customFormat="1" ht="19.5" customHeight="1" x14ac:dyDescent="0.3">
      <c r="A84" s="128" t="s">
        <v>53</v>
      </c>
      <c r="B84" s="127">
        <f>B82-B83</f>
        <v>98.76</v>
      </c>
      <c r="C84" s="131"/>
      <c r="D84" s="131"/>
      <c r="E84" s="131"/>
      <c r="F84" s="131"/>
      <c r="G84" s="132"/>
      <c r="I84" s="130"/>
      <c r="J84" s="130"/>
      <c r="K84" s="130"/>
    </row>
    <row r="85" spans="1:11" s="11" customFormat="1" ht="27" customHeight="1" x14ac:dyDescent="0.4">
      <c r="A85" s="128" t="s">
        <v>54</v>
      </c>
      <c r="B85" s="269">
        <v>1</v>
      </c>
      <c r="C85" s="315" t="s">
        <v>55</v>
      </c>
      <c r="D85" s="316"/>
      <c r="E85" s="316"/>
      <c r="F85" s="316"/>
      <c r="G85" s="316"/>
      <c r="H85" s="317"/>
      <c r="I85" s="130"/>
      <c r="J85" s="130"/>
      <c r="K85" s="130"/>
    </row>
    <row r="86" spans="1:11" s="11" customFormat="1" ht="27" customHeight="1" x14ac:dyDescent="0.4">
      <c r="A86" s="128" t="s">
        <v>56</v>
      </c>
      <c r="B86" s="269">
        <v>1</v>
      </c>
      <c r="C86" s="315" t="s">
        <v>57</v>
      </c>
      <c r="D86" s="316"/>
      <c r="E86" s="316"/>
      <c r="F86" s="316"/>
      <c r="G86" s="316"/>
      <c r="H86" s="317"/>
      <c r="I86" s="130"/>
      <c r="J86" s="130"/>
      <c r="K86" s="130"/>
    </row>
    <row r="87" spans="1:11" s="11" customFormat="1" ht="18.75" x14ac:dyDescent="0.3">
      <c r="A87" s="128"/>
      <c r="B87" s="127"/>
      <c r="C87" s="131"/>
      <c r="D87" s="131"/>
      <c r="E87" s="131"/>
      <c r="F87" s="131"/>
      <c r="G87" s="132"/>
      <c r="I87" s="130"/>
      <c r="J87" s="130"/>
      <c r="K87" s="130"/>
    </row>
    <row r="88" spans="1:11" s="11" customFormat="1" ht="18.75" x14ac:dyDescent="0.3">
      <c r="A88" s="128" t="s">
        <v>58</v>
      </c>
      <c r="B88" s="137">
        <f>B85/B86</f>
        <v>1</v>
      </c>
      <c r="C88" s="120" t="s">
        <v>59</v>
      </c>
      <c r="D88" s="131"/>
      <c r="E88" s="131"/>
      <c r="F88" s="131"/>
      <c r="G88" s="132"/>
      <c r="I88" s="130"/>
      <c r="J88" s="130"/>
      <c r="K88" s="130"/>
    </row>
    <row r="89" spans="1:11" ht="19.5" customHeight="1" x14ac:dyDescent="0.3">
      <c r="A89" s="125"/>
      <c r="B89" s="125"/>
    </row>
    <row r="90" spans="1:11" ht="27" customHeight="1" x14ac:dyDescent="0.4">
      <c r="A90" s="138" t="s">
        <v>60</v>
      </c>
      <c r="B90" s="270">
        <v>100</v>
      </c>
      <c r="D90" s="201" t="s">
        <v>61</v>
      </c>
      <c r="E90" s="202"/>
      <c r="F90" s="313" t="s">
        <v>62</v>
      </c>
      <c r="G90" s="314"/>
    </row>
    <row r="91" spans="1:11" ht="26.25" customHeight="1" x14ac:dyDescent="0.4">
      <c r="A91" s="139" t="s">
        <v>63</v>
      </c>
      <c r="B91" s="271">
        <v>4</v>
      </c>
      <c r="C91" s="198" t="s">
        <v>64</v>
      </c>
      <c r="D91" s="142" t="s">
        <v>65</v>
      </c>
      <c r="E91" s="199" t="s">
        <v>66</v>
      </c>
      <c r="F91" s="142" t="s">
        <v>65</v>
      </c>
      <c r="G91" s="143" t="s">
        <v>66</v>
      </c>
    </row>
    <row r="92" spans="1:11" ht="26.25" customHeight="1" x14ac:dyDescent="0.4">
      <c r="A92" s="139" t="s">
        <v>67</v>
      </c>
      <c r="B92" s="271">
        <v>25</v>
      </c>
      <c r="C92" s="196">
        <v>1</v>
      </c>
      <c r="D92" s="272">
        <v>17270039</v>
      </c>
      <c r="E92" s="215">
        <f>IF(ISBLANK(D92),"-",$D$102/$D$99*D92)</f>
        <v>24319754.486112893</v>
      </c>
      <c r="F92" s="272">
        <v>11033520</v>
      </c>
      <c r="G92" s="218">
        <f>IF(ISBLANK(F92),"-",$D$102/$F$99*F92)</f>
        <v>24690712.214772947</v>
      </c>
    </row>
    <row r="93" spans="1:11" ht="26.25" customHeight="1" x14ac:dyDescent="0.4">
      <c r="A93" s="139" t="s">
        <v>68</v>
      </c>
      <c r="B93" s="271">
        <v>1</v>
      </c>
      <c r="C93" s="171">
        <v>2</v>
      </c>
      <c r="D93" s="273">
        <v>17208565</v>
      </c>
      <c r="E93" s="216">
        <f>IF(ISBLANK(D93),"-",$D$102/$D$99*D93)</f>
        <v>24233186.494733177</v>
      </c>
      <c r="F93" s="273">
        <v>11036778</v>
      </c>
      <c r="G93" s="219">
        <f>IF(ISBLANK(F93),"-",$D$102/$F$99*F93)</f>
        <v>24698002.93798691</v>
      </c>
    </row>
    <row r="94" spans="1:11" ht="26.25" customHeight="1" x14ac:dyDescent="0.4">
      <c r="A94" s="139" t="s">
        <v>69</v>
      </c>
      <c r="B94" s="271">
        <v>1</v>
      </c>
      <c r="C94" s="171">
        <v>3</v>
      </c>
      <c r="D94" s="273">
        <v>17337732</v>
      </c>
      <c r="E94" s="216">
        <f>IF(ISBLANK(D94),"-",$D$102/$D$99*D94)</f>
        <v>24415080.104105324</v>
      </c>
      <c r="F94" s="273">
        <v>10874215</v>
      </c>
      <c r="G94" s="219">
        <f>IF(ISBLANK(F94),"-",$D$102/$F$99*F94)</f>
        <v>24334220.9128698</v>
      </c>
    </row>
    <row r="95" spans="1:11" ht="26.25" customHeight="1" x14ac:dyDescent="0.4">
      <c r="A95" s="139" t="s">
        <v>70</v>
      </c>
      <c r="B95" s="271">
        <v>1</v>
      </c>
      <c r="C95" s="200">
        <v>4</v>
      </c>
      <c r="D95" s="274"/>
      <c r="E95" s="217" t="str">
        <f>IF(ISBLANK(D95),"-",$D$102/$D$99*D95)</f>
        <v>-</v>
      </c>
      <c r="F95" s="284"/>
      <c r="G95" s="220" t="str">
        <f>IF(ISBLANK(F95),"-",$D$102/$F$99*F95)</f>
        <v>-</v>
      </c>
    </row>
    <row r="96" spans="1:11" ht="27" customHeight="1" x14ac:dyDescent="0.4">
      <c r="A96" s="139" t="s">
        <v>71</v>
      </c>
      <c r="B96" s="271">
        <v>1</v>
      </c>
      <c r="C96" s="192" t="s">
        <v>72</v>
      </c>
      <c r="D96" s="259">
        <f>AVERAGE(D92:D95)</f>
        <v>17272112</v>
      </c>
      <c r="E96" s="174">
        <f>AVERAGE(E92:E95)</f>
        <v>24322673.694983799</v>
      </c>
      <c r="F96" s="197">
        <f>AVERAGE(F92:F95)</f>
        <v>10981504.333333334</v>
      </c>
      <c r="G96" s="221">
        <f>AVERAGE(G92:G95)</f>
        <v>24574312.021876555</v>
      </c>
    </row>
    <row r="97" spans="1:9" ht="26.25" customHeight="1" x14ac:dyDescent="0.4">
      <c r="A97" s="139" t="s">
        <v>73</v>
      </c>
      <c r="B97" s="268">
        <v>1</v>
      </c>
      <c r="C97" s="250" t="s">
        <v>74</v>
      </c>
      <c r="D97" s="275">
        <v>12.84</v>
      </c>
      <c r="E97" s="146"/>
      <c r="F97" s="276">
        <v>8.08</v>
      </c>
    </row>
    <row r="98" spans="1:9" ht="26.25" customHeight="1" x14ac:dyDescent="0.4">
      <c r="A98" s="139" t="s">
        <v>75</v>
      </c>
      <c r="B98" s="268">
        <v>1</v>
      </c>
      <c r="C98" s="251" t="s">
        <v>76</v>
      </c>
      <c r="D98" s="252">
        <f>D97*B88</f>
        <v>12.84</v>
      </c>
      <c r="E98" s="153"/>
      <c r="F98" s="152">
        <f>F97*B88</f>
        <v>8.08</v>
      </c>
    </row>
    <row r="99" spans="1:9" ht="19.5" customHeight="1" x14ac:dyDescent="0.3">
      <c r="A99" s="139" t="s">
        <v>77</v>
      </c>
      <c r="B99" s="248">
        <f>(B98/B97)*(B96/B95)*(B94/B93)*(B92/B91)*B90</f>
        <v>625</v>
      </c>
      <c r="C99" s="251" t="s">
        <v>78</v>
      </c>
      <c r="D99" s="253">
        <f>D98*$B$84/100</f>
        <v>12.680784000000001</v>
      </c>
      <c r="E99" s="155"/>
      <c r="F99" s="154">
        <f>F98*$B$84/100</f>
        <v>7.9798080000000002</v>
      </c>
    </row>
    <row r="100" spans="1:9" ht="19.5" customHeight="1" x14ac:dyDescent="0.3">
      <c r="A100" s="326" t="s">
        <v>79</v>
      </c>
      <c r="B100" s="330"/>
      <c r="C100" s="251" t="s">
        <v>80</v>
      </c>
      <c r="D100" s="252">
        <f>D99/$B$99</f>
        <v>2.0289254400000001E-2</v>
      </c>
      <c r="E100" s="155"/>
      <c r="F100" s="156">
        <f>F99/$B$99</f>
        <v>1.2767692800000001E-2</v>
      </c>
      <c r="G100" s="234"/>
      <c r="H100" s="235"/>
    </row>
    <row r="101" spans="1:9" ht="19.5" customHeight="1" x14ac:dyDescent="0.3">
      <c r="A101" s="328"/>
      <c r="B101" s="331"/>
      <c r="C101" s="251" t="s">
        <v>81</v>
      </c>
      <c r="D101" s="260">
        <f>$B$56/$B$117</f>
        <v>2.8571428571428571E-2</v>
      </c>
      <c r="F101" s="158"/>
      <c r="G101" s="236"/>
      <c r="H101" s="235"/>
    </row>
    <row r="102" spans="1:9" ht="18.75" x14ac:dyDescent="0.3">
      <c r="C102" s="251" t="s">
        <v>82</v>
      </c>
      <c r="D102" s="252">
        <f>D101*$B$99</f>
        <v>17.857142857142858</v>
      </c>
      <c r="F102" s="158"/>
      <c r="G102" s="234"/>
      <c r="H102" s="235"/>
    </row>
    <row r="103" spans="1:9" ht="19.5" customHeight="1" x14ac:dyDescent="0.3">
      <c r="C103" s="254" t="s">
        <v>83</v>
      </c>
      <c r="D103" s="261">
        <f>D102/B34</f>
        <v>17.857142857142858</v>
      </c>
      <c r="F103" s="161"/>
      <c r="G103" s="234"/>
      <c r="H103" s="235"/>
      <c r="I103" s="175"/>
    </row>
    <row r="104" spans="1:9" ht="18.75" x14ac:dyDescent="0.3">
      <c r="C104" s="256" t="s">
        <v>113</v>
      </c>
      <c r="D104" s="257">
        <f>AVERAGE(E92:E95,G92:G95)</f>
        <v>24448492.858430177</v>
      </c>
      <c r="F104" s="161"/>
      <c r="G104" s="237"/>
      <c r="H104" s="235"/>
      <c r="I104" s="177"/>
    </row>
    <row r="105" spans="1:9" ht="18.75" x14ac:dyDescent="0.3">
      <c r="C105" s="157" t="s">
        <v>85</v>
      </c>
      <c r="D105" s="176">
        <f>STDEV(E92:E95,G92:G95)/D104</f>
        <v>8.140082783133145E-3</v>
      </c>
      <c r="F105" s="161"/>
      <c r="G105" s="234"/>
      <c r="H105" s="235"/>
      <c r="I105" s="177"/>
    </row>
    <row r="106" spans="1:9" ht="19.5" customHeight="1" x14ac:dyDescent="0.3">
      <c r="C106" s="159" t="s">
        <v>19</v>
      </c>
      <c r="D106" s="178">
        <f>COUNT(E92:E95,G92:G95)</f>
        <v>6</v>
      </c>
      <c r="F106" s="161"/>
      <c r="G106" s="234"/>
      <c r="H106" s="235"/>
      <c r="I106" s="177"/>
    </row>
    <row r="107" spans="1:9" ht="19.5" customHeight="1" x14ac:dyDescent="0.3">
      <c r="A107" s="119"/>
      <c r="B107" s="119"/>
      <c r="C107" s="119"/>
      <c r="D107" s="119"/>
      <c r="E107" s="119"/>
    </row>
    <row r="108" spans="1:9" ht="26.25" customHeight="1" x14ac:dyDescent="0.4">
      <c r="A108" s="138" t="s">
        <v>114</v>
      </c>
      <c r="B108" s="270">
        <v>700</v>
      </c>
      <c r="C108" s="179" t="s">
        <v>115</v>
      </c>
      <c r="D108" s="180" t="s">
        <v>65</v>
      </c>
      <c r="E108" s="181" t="s">
        <v>116</v>
      </c>
      <c r="F108" s="182" t="s">
        <v>117</v>
      </c>
    </row>
    <row r="109" spans="1:9" ht="26.25" customHeight="1" x14ac:dyDescent="0.4">
      <c r="A109" s="139" t="s">
        <v>95</v>
      </c>
      <c r="B109" s="271">
        <v>1</v>
      </c>
      <c r="C109" s="145">
        <v>1</v>
      </c>
      <c r="D109" s="285">
        <v>12383</v>
      </c>
      <c r="E109" s="183">
        <f>IF(ISBLANK(D109),"-",D109/$D$104*$D$101*$B$117)</f>
        <v>1.0129867776884391E-2</v>
      </c>
      <c r="F109" s="184">
        <f>IF(ISBLANK(D109), "-", E109/$B$56)</f>
        <v>5.0649338884421952E-4</v>
      </c>
    </row>
    <row r="110" spans="1:9" ht="26.25" customHeight="1" x14ac:dyDescent="0.4">
      <c r="A110" s="139" t="s">
        <v>97</v>
      </c>
      <c r="B110" s="271">
        <v>1</v>
      </c>
      <c r="C110" s="145">
        <v>2</v>
      </c>
      <c r="D110" s="285">
        <v>12883</v>
      </c>
      <c r="E110" s="185">
        <f t="shared" ref="E109:E114" si="1">IF(ISBLANK(D110),"-",D110/$D$104*$D$101*$B$117)</f>
        <v>1.0538890944811564E-2</v>
      </c>
      <c r="F110" s="208">
        <f>IF(ISBLANK(D110), "-", E110/$B$56)</f>
        <v>5.2694454724057827E-4</v>
      </c>
    </row>
    <row r="111" spans="1:9" ht="26.25" customHeight="1" x14ac:dyDescent="0.4">
      <c r="A111" s="139" t="s">
        <v>98</v>
      </c>
      <c r="B111" s="271">
        <v>1</v>
      </c>
      <c r="C111" s="145">
        <v>3</v>
      </c>
      <c r="D111" s="285">
        <v>12341</v>
      </c>
      <c r="E111" s="185">
        <f t="shared" si="1"/>
        <v>1.0095509830778508E-2</v>
      </c>
      <c r="F111" s="208">
        <f>IF(ISBLANK(D111), "-", E111/$B$56)</f>
        <v>5.047754915389254E-4</v>
      </c>
    </row>
    <row r="112" spans="1:9" ht="26.25" customHeight="1" x14ac:dyDescent="0.4">
      <c r="A112" s="139" t="s">
        <v>99</v>
      </c>
      <c r="B112" s="271">
        <v>1</v>
      </c>
      <c r="C112" s="145">
        <v>4</v>
      </c>
      <c r="D112" s="285">
        <v>13844</v>
      </c>
      <c r="E112" s="185">
        <f t="shared" si="1"/>
        <v>1.1325033473567591E-2</v>
      </c>
      <c r="F112" s="208">
        <f>IF(ISBLANK(D112), "-", E112/$B$56)</f>
        <v>5.6625167367837961E-4</v>
      </c>
    </row>
    <row r="113" spans="1:9" ht="26.25" customHeight="1" x14ac:dyDescent="0.4">
      <c r="A113" s="139" t="s">
        <v>100</v>
      </c>
      <c r="B113" s="271">
        <v>1</v>
      </c>
      <c r="C113" s="145">
        <v>5</v>
      </c>
      <c r="D113" s="285">
        <v>13743</v>
      </c>
      <c r="E113" s="185">
        <f t="shared" si="1"/>
        <v>1.1242410793646303E-2</v>
      </c>
      <c r="F113" s="208">
        <f>IF(ISBLANK(D113), "-", E113/$B$56)</f>
        <v>5.6212053968231516E-4</v>
      </c>
    </row>
    <row r="114" spans="1:9" ht="26.25" customHeight="1" x14ac:dyDescent="0.4">
      <c r="A114" s="139" t="s">
        <v>102</v>
      </c>
      <c r="B114" s="271">
        <v>1</v>
      </c>
      <c r="C114" s="148">
        <v>6</v>
      </c>
      <c r="D114" s="286">
        <v>11957</v>
      </c>
      <c r="E114" s="186">
        <f t="shared" si="1"/>
        <v>9.781380037810438E-3</v>
      </c>
      <c r="F114" s="209">
        <f>IF(ISBLANK(D114), "-", E114/$B$56)</f>
        <v>4.8906900189052188E-4</v>
      </c>
    </row>
    <row r="115" spans="1:9" ht="26.25" customHeight="1" x14ac:dyDescent="0.4">
      <c r="A115" s="139" t="s">
        <v>103</v>
      </c>
      <c r="B115" s="271">
        <v>1</v>
      </c>
      <c r="C115" s="145"/>
      <c r="D115" s="171"/>
      <c r="E115" s="173"/>
      <c r="F115" s="187"/>
    </row>
    <row r="116" spans="1:9" ht="26.25" customHeight="1" x14ac:dyDescent="0.4">
      <c r="A116" s="139" t="s">
        <v>104</v>
      </c>
      <c r="B116" s="271">
        <v>1</v>
      </c>
      <c r="C116" s="145"/>
      <c r="D116" s="188"/>
      <c r="E116" s="189" t="s">
        <v>72</v>
      </c>
      <c r="F116" s="292">
        <f>AVERAGE(F109:F114)</f>
        <v>5.2594244047915668E-4</v>
      </c>
    </row>
    <row r="117" spans="1:9" ht="27" customHeight="1" x14ac:dyDescent="0.4">
      <c r="A117" s="139" t="s">
        <v>105</v>
      </c>
      <c r="B117" s="239">
        <f>(B116/B115)*(B114/B113)*(B112/B111)*(B110/B109)*B108</f>
        <v>700</v>
      </c>
      <c r="C117" s="190"/>
      <c r="D117" s="191"/>
      <c r="E117" s="192" t="s">
        <v>85</v>
      </c>
      <c r="F117" s="293">
        <f>STDEV(F109:F114)/F116</f>
        <v>6.084701696043214E-2</v>
      </c>
    </row>
    <row r="118" spans="1:9" ht="27" customHeight="1" x14ac:dyDescent="0.4">
      <c r="A118" s="326" t="s">
        <v>79</v>
      </c>
      <c r="B118" s="327"/>
      <c r="C118" s="193"/>
      <c r="D118" s="194"/>
      <c r="E118" s="195" t="s">
        <v>19</v>
      </c>
      <c r="F118" s="294">
        <f>COUNT(F109:F114)</f>
        <v>6</v>
      </c>
      <c r="I118" s="177"/>
    </row>
    <row r="119" spans="1:9" ht="19.5" customHeight="1" x14ac:dyDescent="0.3">
      <c r="A119" s="328"/>
      <c r="B119" s="329"/>
      <c r="C119" s="173"/>
      <c r="D119" s="173"/>
      <c r="E119" s="173"/>
      <c r="F119" s="171"/>
      <c r="G119" s="173"/>
      <c r="H119" s="173"/>
    </row>
    <row r="120" spans="1:9" ht="18.75" x14ac:dyDescent="0.3">
      <c r="A120" s="136"/>
      <c r="B120" s="136"/>
      <c r="C120" s="173"/>
      <c r="D120" s="173"/>
      <c r="E120" s="173"/>
      <c r="F120" s="171"/>
      <c r="G120" s="173"/>
      <c r="H120" s="173"/>
    </row>
    <row r="121" spans="1:9" ht="26.25" customHeight="1" x14ac:dyDescent="0.4">
      <c r="A121" s="126" t="s">
        <v>108</v>
      </c>
      <c r="B121" s="264" t="s">
        <v>109</v>
      </c>
      <c r="C121" s="308" t="str">
        <f>B20</f>
        <v>OMEPRAZOLE USP</v>
      </c>
      <c r="D121" s="308"/>
      <c r="E121" s="265" t="s">
        <v>118</v>
      </c>
      <c r="F121" s="265"/>
      <c r="G121" s="295">
        <f>F116</f>
        <v>5.2594244047915668E-4</v>
      </c>
      <c r="H121" s="173"/>
    </row>
    <row r="122" spans="1:9" ht="18.75" x14ac:dyDescent="0.3">
      <c r="A122" s="136"/>
      <c r="B122" s="136"/>
      <c r="C122" s="173"/>
      <c r="D122" s="173"/>
      <c r="E122" s="173"/>
      <c r="F122" s="171"/>
      <c r="G122" s="173"/>
      <c r="H122" s="173"/>
    </row>
    <row r="123" spans="1:9" ht="26.25" customHeight="1" x14ac:dyDescent="0.4">
      <c r="A123" s="125" t="s">
        <v>111</v>
      </c>
      <c r="B123" s="125" t="s">
        <v>112</v>
      </c>
      <c r="D123" s="287">
        <v>45</v>
      </c>
    </row>
    <row r="124" spans="1:9" ht="19.5" customHeight="1" x14ac:dyDescent="0.3">
      <c r="A124" s="119"/>
      <c r="B124" s="119"/>
      <c r="C124" s="119"/>
      <c r="D124" s="119"/>
      <c r="E124" s="119"/>
    </row>
    <row r="125" spans="1:9" ht="26.25" customHeight="1" x14ac:dyDescent="0.4">
      <c r="A125" s="138" t="s">
        <v>114</v>
      </c>
      <c r="B125" s="288">
        <v>900</v>
      </c>
      <c r="C125" s="179" t="s">
        <v>115</v>
      </c>
      <c r="D125" s="180" t="s">
        <v>65</v>
      </c>
      <c r="E125" s="181" t="s">
        <v>116</v>
      </c>
      <c r="F125" s="182" t="s">
        <v>117</v>
      </c>
    </row>
    <row r="126" spans="1:9" ht="26.25" customHeight="1" x14ac:dyDescent="0.4">
      <c r="A126" s="139" t="s">
        <v>95</v>
      </c>
      <c r="B126" s="289">
        <v>1</v>
      </c>
      <c r="C126" s="145">
        <v>1</v>
      </c>
      <c r="D126" s="290">
        <v>16141592</v>
      </c>
      <c r="E126" s="244">
        <f>IF(ISBLANK(D126),"-",D126/$D$104*$D$101*$B$134)</f>
        <v>16.9773045305861</v>
      </c>
      <c r="F126" s="241">
        <f t="shared" ref="F126:F131" si="2">IF(ISBLANK(D126), "-", E126/$B$56)</f>
        <v>0.84886522652930496</v>
      </c>
    </row>
    <row r="127" spans="1:9" ht="26.25" customHeight="1" x14ac:dyDescent="0.4">
      <c r="A127" s="139" t="s">
        <v>97</v>
      </c>
      <c r="B127" s="289">
        <v>1</v>
      </c>
      <c r="C127" s="145">
        <v>2</v>
      </c>
      <c r="D127" s="290">
        <v>16096306</v>
      </c>
      <c r="E127" s="245">
        <f t="shared" ref="E126:E131" si="3">IF(ISBLANK(D127),"-",D127/$D$104*$D$101*$B$134)</f>
        <v>16.929673899544742</v>
      </c>
      <c r="F127" s="242">
        <f t="shared" si="2"/>
        <v>0.84648369497723708</v>
      </c>
    </row>
    <row r="128" spans="1:9" ht="26.25" customHeight="1" x14ac:dyDescent="0.4">
      <c r="A128" s="139" t="s">
        <v>98</v>
      </c>
      <c r="B128" s="289">
        <v>1</v>
      </c>
      <c r="C128" s="145">
        <v>3</v>
      </c>
      <c r="D128" s="290">
        <v>16167301</v>
      </c>
      <c r="E128" s="245">
        <f t="shared" si="3"/>
        <v>17.00434458476272</v>
      </c>
      <c r="F128" s="242">
        <f>IF(ISBLANK(D128), "-", E128/$B$56)</f>
        <v>0.85021722923813603</v>
      </c>
    </row>
    <row r="129" spans="1:9" ht="26.25" customHeight="1" x14ac:dyDescent="0.4">
      <c r="A129" s="139" t="s">
        <v>99</v>
      </c>
      <c r="B129" s="289">
        <v>1</v>
      </c>
      <c r="C129" s="145">
        <v>4</v>
      </c>
      <c r="D129" s="290">
        <v>16192995</v>
      </c>
      <c r="E129" s="245">
        <f t="shared" si="3"/>
        <v>17.031368862331426</v>
      </c>
      <c r="F129" s="242">
        <f t="shared" si="2"/>
        <v>0.85156844311657132</v>
      </c>
    </row>
    <row r="130" spans="1:9" ht="26.25" customHeight="1" x14ac:dyDescent="0.4">
      <c r="A130" s="139" t="s">
        <v>100</v>
      </c>
      <c r="B130" s="289">
        <v>1</v>
      </c>
      <c r="C130" s="145">
        <v>5</v>
      </c>
      <c r="D130" s="290">
        <v>16084455</v>
      </c>
      <c r="E130" s="245">
        <f t="shared" si="3"/>
        <v>16.917209327525331</v>
      </c>
      <c r="F130" s="242">
        <f>IF(ISBLANK(D130), "-", E130/$B$56)</f>
        <v>0.84586046637626655</v>
      </c>
    </row>
    <row r="131" spans="1:9" ht="26.25" customHeight="1" x14ac:dyDescent="0.4">
      <c r="A131" s="139" t="s">
        <v>102</v>
      </c>
      <c r="B131" s="289">
        <v>1</v>
      </c>
      <c r="C131" s="148">
        <v>6</v>
      </c>
      <c r="D131" s="291">
        <v>16047819</v>
      </c>
      <c r="E131" s="246">
        <f t="shared" si="3"/>
        <v>16.878676540376297</v>
      </c>
      <c r="F131" s="243">
        <f t="shared" si="2"/>
        <v>0.84393382701881481</v>
      </c>
    </row>
    <row r="132" spans="1:9" ht="26.25" customHeight="1" x14ac:dyDescent="0.4">
      <c r="A132" s="139" t="s">
        <v>103</v>
      </c>
      <c r="B132" s="289">
        <v>1</v>
      </c>
      <c r="C132" s="145"/>
      <c r="D132" s="171"/>
      <c r="E132" s="173"/>
      <c r="F132" s="187"/>
    </row>
    <row r="133" spans="1:9" ht="26.25" customHeight="1" x14ac:dyDescent="0.4">
      <c r="A133" s="139" t="s">
        <v>104</v>
      </c>
      <c r="B133" s="289">
        <v>1</v>
      </c>
      <c r="C133" s="145"/>
      <c r="D133" s="188"/>
      <c r="E133" s="189" t="s">
        <v>72</v>
      </c>
      <c r="F133" s="292">
        <f>AVERAGE(F126:F131)</f>
        <v>0.84782148120938849</v>
      </c>
    </row>
    <row r="134" spans="1:9" ht="27" customHeight="1" x14ac:dyDescent="0.4">
      <c r="A134" s="139" t="s">
        <v>105</v>
      </c>
      <c r="B134" s="296">
        <f>(B133/B132)*(B131/B130)*(B129/B128)*(B127/B126)*B125</f>
        <v>900</v>
      </c>
      <c r="C134" s="190"/>
      <c r="D134" s="191"/>
      <c r="E134" s="192" t="s">
        <v>85</v>
      </c>
      <c r="F134" s="293">
        <f>STDEV(F126:F131)/F133</f>
        <v>3.4029092247575563E-3</v>
      </c>
    </row>
    <row r="135" spans="1:9" ht="27" customHeight="1" x14ac:dyDescent="0.4">
      <c r="A135" s="326" t="s">
        <v>79</v>
      </c>
      <c r="B135" s="327"/>
      <c r="C135" s="193"/>
      <c r="D135" s="194"/>
      <c r="E135" s="195" t="s">
        <v>19</v>
      </c>
      <c r="F135" s="294">
        <f>COUNT(F126:F131)</f>
        <v>6</v>
      </c>
      <c r="I135" s="177"/>
    </row>
    <row r="136" spans="1:9" ht="19.5" customHeight="1" x14ac:dyDescent="0.3">
      <c r="A136" s="328"/>
      <c r="B136" s="329"/>
      <c r="C136" s="173"/>
      <c r="D136" s="173"/>
      <c r="E136" s="173"/>
      <c r="F136" s="171"/>
      <c r="G136" s="173"/>
      <c r="H136" s="173"/>
    </row>
    <row r="137" spans="1:9" ht="18.75" x14ac:dyDescent="0.3">
      <c r="A137" s="136"/>
      <c r="B137" s="136"/>
      <c r="C137" s="173"/>
      <c r="D137" s="173"/>
      <c r="E137" s="173"/>
      <c r="F137" s="171"/>
      <c r="G137" s="173"/>
      <c r="H137" s="173"/>
    </row>
    <row r="138" spans="1:9" ht="26.25" customHeight="1" x14ac:dyDescent="0.4">
      <c r="A138" s="126" t="s">
        <v>108</v>
      </c>
      <c r="B138" s="264" t="s">
        <v>109</v>
      </c>
      <c r="C138" s="308" t="str">
        <f>B20</f>
        <v>OMEPRAZOLE USP</v>
      </c>
      <c r="D138" s="308"/>
      <c r="E138" s="265" t="s">
        <v>118</v>
      </c>
      <c r="F138" s="265"/>
      <c r="G138" s="295">
        <f>F133</f>
        <v>0.84782148120938849</v>
      </c>
      <c r="H138" s="173"/>
    </row>
    <row r="139" spans="1:9" ht="19.5" customHeight="1" x14ac:dyDescent="0.3">
      <c r="A139" s="210"/>
      <c r="B139" s="210"/>
      <c r="C139" s="211"/>
      <c r="D139" s="211"/>
      <c r="E139" s="211"/>
      <c r="F139" s="211"/>
      <c r="G139" s="211"/>
      <c r="H139" s="211"/>
    </row>
    <row r="140" spans="1:9" ht="18.75" x14ac:dyDescent="0.3">
      <c r="B140" s="309" t="s">
        <v>25</v>
      </c>
      <c r="C140" s="309"/>
      <c r="E140" s="198" t="s">
        <v>26</v>
      </c>
      <c r="F140" s="226"/>
      <c r="G140" s="309" t="s">
        <v>27</v>
      </c>
      <c r="H140" s="309"/>
    </row>
    <row r="141" spans="1:9" ht="83.1" customHeight="1" x14ac:dyDescent="0.3">
      <c r="A141" s="227" t="s">
        <v>28</v>
      </c>
      <c r="B141" s="262" t="s">
        <v>119</v>
      </c>
      <c r="C141" s="262"/>
      <c r="E141" s="222"/>
      <c r="F141" s="173"/>
      <c r="G141" s="224"/>
      <c r="H141" s="224"/>
    </row>
    <row r="142" spans="1:9" ht="83.1" customHeight="1" x14ac:dyDescent="0.3">
      <c r="A142" s="227" t="s">
        <v>29</v>
      </c>
      <c r="B142" s="263"/>
      <c r="C142" s="263"/>
      <c r="E142" s="223"/>
      <c r="F142" s="173"/>
      <c r="G142" s="225"/>
      <c r="H142" s="225"/>
    </row>
    <row r="143" spans="1:9" ht="18.75" x14ac:dyDescent="0.3">
      <c r="A143" s="170"/>
      <c r="B143" s="170"/>
      <c r="C143" s="171"/>
      <c r="D143" s="171"/>
      <c r="E143" s="171"/>
      <c r="F143" s="172"/>
      <c r="G143" s="171"/>
      <c r="H143" s="171"/>
    </row>
    <row r="144" spans="1:9" ht="18.75" x14ac:dyDescent="0.3">
      <c r="A144" s="170"/>
      <c r="B144" s="170"/>
      <c r="C144" s="171"/>
      <c r="D144" s="171"/>
      <c r="E144" s="171"/>
      <c r="F144" s="172"/>
      <c r="G144" s="171"/>
      <c r="H144" s="171"/>
    </row>
    <row r="145" spans="1:8" ht="18.75" x14ac:dyDescent="0.3">
      <c r="A145" s="170"/>
      <c r="B145" s="170"/>
      <c r="C145" s="171"/>
      <c r="D145" s="171"/>
      <c r="E145" s="171"/>
      <c r="F145" s="172"/>
      <c r="G145" s="171"/>
      <c r="H145" s="171"/>
    </row>
    <row r="146" spans="1:8" ht="18.75" x14ac:dyDescent="0.3">
      <c r="A146" s="170"/>
      <c r="B146" s="170"/>
      <c r="C146" s="171"/>
      <c r="D146" s="171"/>
      <c r="E146" s="171"/>
      <c r="F146" s="172"/>
      <c r="G146" s="171"/>
      <c r="H146" s="171"/>
    </row>
    <row r="147" spans="1:8" ht="18.75" x14ac:dyDescent="0.3">
      <c r="A147" s="170"/>
      <c r="B147" s="170"/>
      <c r="C147" s="171"/>
      <c r="D147" s="171"/>
      <c r="E147" s="171"/>
      <c r="F147" s="172"/>
      <c r="G147" s="171"/>
      <c r="H147" s="171"/>
    </row>
    <row r="148" spans="1:8" ht="18.75" x14ac:dyDescent="0.3">
      <c r="A148" s="170"/>
      <c r="B148" s="170"/>
      <c r="C148" s="171"/>
      <c r="D148" s="171"/>
      <c r="E148" s="171"/>
      <c r="F148" s="172"/>
      <c r="G148" s="171"/>
      <c r="H148" s="171"/>
    </row>
    <row r="149" spans="1:8" ht="18.75" x14ac:dyDescent="0.3">
      <c r="A149" s="170"/>
      <c r="B149" s="170"/>
      <c r="C149" s="171"/>
      <c r="D149" s="171"/>
      <c r="E149" s="171"/>
      <c r="F149" s="172"/>
      <c r="G149" s="171"/>
      <c r="H149" s="171"/>
    </row>
    <row r="150" spans="1:8" ht="18.75" x14ac:dyDescent="0.3">
      <c r="A150" s="170"/>
      <c r="B150" s="170"/>
      <c r="C150" s="171"/>
      <c r="D150" s="171"/>
      <c r="E150" s="171"/>
      <c r="F150" s="172"/>
      <c r="G150" s="171"/>
      <c r="H150" s="171"/>
    </row>
    <row r="151" spans="1:8" ht="18.75" x14ac:dyDescent="0.3">
      <c r="A151" s="170"/>
      <c r="B151" s="170"/>
      <c r="C151" s="171"/>
      <c r="D151" s="171"/>
      <c r="E151" s="171"/>
      <c r="F151" s="172"/>
      <c r="G151" s="171"/>
      <c r="H151" s="17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M27"/>
  <sheetViews>
    <sheetView workbookViewId="0">
      <selection activeCell="G13" sqref="G13"/>
    </sheetView>
  </sheetViews>
  <sheetFormatPr defaultRowHeight="12.75" x14ac:dyDescent="0.2"/>
  <sheetData>
    <row r="13" spans="7:7" x14ac:dyDescent="0.2">
      <c r="G13">
        <f>10/100*10/50</f>
        <v>0.02</v>
      </c>
    </row>
    <row r="18" spans="8:13" x14ac:dyDescent="0.2">
      <c r="L18">
        <f>20/900</f>
        <v>2.2222222222222223E-2</v>
      </c>
      <c r="M18">
        <f>10/100*5/50</f>
        <v>0.01</v>
      </c>
    </row>
    <row r="27" spans="8:13" x14ac:dyDescent="0.2">
      <c r="H27">
        <f>0.0012*1000/100</f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Omeprazole</vt:lpstr>
      <vt:lpstr>Sheet1</vt:lpstr>
      <vt:lpstr>Omeprazole!Print_Area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2015-07-03T12:05:50Z</dcterms:modified>
</cp:coreProperties>
</file>