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75" windowHeight="9405" activeTab="5"/>
  </bookViews>
  <sheets>
    <sheet name="Uniformity" sheetId="4" r:id="rId1"/>
    <sheet name="SST (RABEPRAZOLE) " sheetId="10" r:id="rId2"/>
    <sheet name="SST (Itopride)" sheetId="1" r:id="rId3"/>
    <sheet name="itopride  (2)" sheetId="11" r:id="rId4"/>
    <sheet name="itopride " sheetId="7" r:id="rId5"/>
    <sheet name="Rabeprazole " sheetId="8" r:id="rId6"/>
    <sheet name="Sheet1" sheetId="9" r:id="rId7"/>
  </sheets>
  <calcPr calcId="145621"/>
</workbook>
</file>

<file path=xl/calcChain.xml><?xml version="1.0" encoding="utf-8"?>
<calcChain xmlns="http://schemas.openxmlformats.org/spreadsheetml/2006/main">
  <c r="G26" i="9" l="1"/>
  <c r="B30" i="8" l="1"/>
  <c r="C140" i="11"/>
  <c r="B136" i="11"/>
  <c r="C123" i="11"/>
  <c r="B119" i="11"/>
  <c r="B99" i="11"/>
  <c r="D102" i="11" s="1"/>
  <c r="F98" i="11"/>
  <c r="F96" i="11"/>
  <c r="D96" i="11"/>
  <c r="G95" i="11"/>
  <c r="E95" i="11"/>
  <c r="B88" i="11"/>
  <c r="D98" i="11" s="1"/>
  <c r="B83" i="11"/>
  <c r="B82" i="11"/>
  <c r="B81" i="11"/>
  <c r="C76" i="11"/>
  <c r="H71" i="11"/>
  <c r="G71" i="11"/>
  <c r="B68" i="11"/>
  <c r="H67" i="11"/>
  <c r="G67" i="11"/>
  <c r="H63" i="11"/>
  <c r="G63" i="11"/>
  <c r="B57" i="11"/>
  <c r="B69" i="11" s="1"/>
  <c r="C56" i="11"/>
  <c r="B55" i="11"/>
  <c r="B45" i="11"/>
  <c r="D48" i="11" s="1"/>
  <c r="F44" i="11"/>
  <c r="D44" i="11"/>
  <c r="F42" i="11"/>
  <c r="D42" i="11"/>
  <c r="G41" i="11"/>
  <c r="E41" i="11"/>
  <c r="B34" i="11"/>
  <c r="B30" i="11"/>
  <c r="F45" i="11" s="1"/>
  <c r="F46" i="11" s="1"/>
  <c r="D99" i="11" l="1"/>
  <c r="D100" i="11" s="1"/>
  <c r="F99" i="11"/>
  <c r="F100" i="11" s="1"/>
  <c r="D45" i="11"/>
  <c r="D46" i="11" s="1"/>
  <c r="B84" i="11"/>
  <c r="G38" i="11"/>
  <c r="D49" i="11"/>
  <c r="G39" i="11"/>
  <c r="G40" i="11"/>
  <c r="E40" i="11"/>
  <c r="D103" i="11"/>
  <c r="E94" i="11"/>
  <c r="E93" i="11"/>
  <c r="B57" i="7"/>
  <c r="G93" i="11" l="1"/>
  <c r="G94" i="11"/>
  <c r="E39" i="11"/>
  <c r="E42" i="11" s="1"/>
  <c r="E38" i="11"/>
  <c r="E92" i="11"/>
  <c r="E96" i="11" s="1"/>
  <c r="G92" i="11"/>
  <c r="D106" i="11" s="1"/>
  <c r="G42" i="11"/>
  <c r="D104" i="11"/>
  <c r="G96" i="11"/>
  <c r="M11" i="9"/>
  <c r="L11" i="9"/>
  <c r="G13" i="9"/>
  <c r="F12" i="9"/>
  <c r="F11" i="9"/>
  <c r="D50" i="11" l="1"/>
  <c r="D51" i="11" s="1"/>
  <c r="D52" i="11"/>
  <c r="E132" i="11"/>
  <c r="F132" i="11" s="1"/>
  <c r="E130" i="11"/>
  <c r="F130" i="11" s="1"/>
  <c r="E128" i="11"/>
  <c r="F128" i="11" s="1"/>
  <c r="E116" i="11"/>
  <c r="F116" i="11" s="1"/>
  <c r="E114" i="11"/>
  <c r="F114" i="11" s="1"/>
  <c r="E112" i="11"/>
  <c r="F112" i="11" s="1"/>
  <c r="D105" i="11"/>
  <c r="E133" i="11"/>
  <c r="F133" i="11" s="1"/>
  <c r="E131" i="11"/>
  <c r="F131" i="11" s="1"/>
  <c r="E129" i="11"/>
  <c r="F129" i="11" s="1"/>
  <c r="E115" i="11"/>
  <c r="F115" i="11" s="1"/>
  <c r="E113" i="11"/>
  <c r="F113" i="11" s="1"/>
  <c r="E111" i="11"/>
  <c r="F111" i="11" s="1"/>
  <c r="G68" i="11"/>
  <c r="H68" i="11" s="1"/>
  <c r="G65" i="11"/>
  <c r="H65" i="11" s="1"/>
  <c r="G69" i="11"/>
  <c r="H69" i="11" s="1"/>
  <c r="G64" i="11"/>
  <c r="H64" i="11" s="1"/>
  <c r="G62" i="11"/>
  <c r="H62" i="11" s="1"/>
  <c r="G60" i="11"/>
  <c r="H60" i="11" s="1"/>
  <c r="G70" i="11"/>
  <c r="H70" i="11" s="1"/>
  <c r="G61" i="11"/>
  <c r="H61" i="11" s="1"/>
  <c r="B53" i="10"/>
  <c r="E51" i="10"/>
  <c r="D51" i="10"/>
  <c r="C51" i="10"/>
  <c r="B51" i="10"/>
  <c r="B52" i="10" s="1"/>
  <c r="B32" i="10"/>
  <c r="E30" i="10"/>
  <c r="D30" i="10"/>
  <c r="C30" i="10"/>
  <c r="B30" i="10"/>
  <c r="B31" i="10" s="1"/>
  <c r="G66" i="11" l="1"/>
  <c r="H66" i="11" s="1"/>
  <c r="H72" i="11" s="1"/>
  <c r="F135" i="11"/>
  <c r="F137" i="11"/>
  <c r="H74" i="11"/>
  <c r="F118" i="11"/>
  <c r="F120" i="11"/>
  <c r="F32" i="9"/>
  <c r="B57" i="8"/>
  <c r="C140" i="8"/>
  <c r="B136" i="8"/>
  <c r="C123" i="8"/>
  <c r="B119" i="8"/>
  <c r="B99" i="8"/>
  <c r="F96" i="8"/>
  <c r="D96" i="8"/>
  <c r="G95" i="8"/>
  <c r="E95" i="8"/>
  <c r="B88" i="8"/>
  <c r="D98" i="8" s="1"/>
  <c r="B83" i="8"/>
  <c r="B82" i="8"/>
  <c r="B84" i="8" s="1"/>
  <c r="B81" i="8"/>
  <c r="B80" i="8"/>
  <c r="C76" i="8"/>
  <c r="H71" i="8"/>
  <c r="G71" i="8"/>
  <c r="B68" i="8"/>
  <c r="H67" i="8"/>
  <c r="G67" i="8"/>
  <c r="H63" i="8"/>
  <c r="G63" i="8"/>
  <c r="C56" i="8"/>
  <c r="B55" i="8"/>
  <c r="B45" i="8"/>
  <c r="D48" i="8" s="1"/>
  <c r="D49" i="8" s="1"/>
  <c r="F42" i="8"/>
  <c r="D42" i="8"/>
  <c r="G41" i="8"/>
  <c r="E41" i="8"/>
  <c r="B34" i="8"/>
  <c r="D44" i="8" s="1"/>
  <c r="C140" i="7"/>
  <c r="B136" i="7"/>
  <c r="C123" i="7"/>
  <c r="B119" i="7"/>
  <c r="B99" i="7"/>
  <c r="F98" i="7"/>
  <c r="F96" i="7"/>
  <c r="D96" i="7"/>
  <c r="G95" i="7"/>
  <c r="E95" i="7"/>
  <c r="B88" i="7"/>
  <c r="D98" i="7" s="1"/>
  <c r="B83" i="7"/>
  <c r="B84" i="7" s="1"/>
  <c r="B82" i="7"/>
  <c r="B81" i="7"/>
  <c r="C76" i="7"/>
  <c r="H71" i="7"/>
  <c r="G71" i="7"/>
  <c r="B68" i="7"/>
  <c r="B69" i="7" s="1"/>
  <c r="H67" i="7"/>
  <c r="G67" i="7"/>
  <c r="H63" i="7"/>
  <c r="G63" i="7"/>
  <c r="C56" i="7"/>
  <c r="B55" i="7"/>
  <c r="B45" i="7"/>
  <c r="D48" i="7" s="1"/>
  <c r="D49" i="7" s="1"/>
  <c r="F44" i="7"/>
  <c r="F42" i="7"/>
  <c r="D42" i="7"/>
  <c r="G41" i="7"/>
  <c r="E41" i="7"/>
  <c r="B34" i="7"/>
  <c r="D44" i="7" s="1"/>
  <c r="B30" i="7"/>
  <c r="C43" i="4"/>
  <c r="B43" i="4"/>
  <c r="C42" i="4"/>
  <c r="B42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B53" i="1"/>
  <c r="E51" i="1"/>
  <c r="D51" i="1"/>
  <c r="C51" i="1"/>
  <c r="B51" i="1"/>
  <c r="B52" i="1" s="1"/>
  <c r="B32" i="1"/>
  <c r="E30" i="1"/>
  <c r="D30" i="1"/>
  <c r="C30" i="1"/>
  <c r="B30" i="1"/>
  <c r="B31" i="1" s="1"/>
  <c r="G76" i="11" l="1"/>
  <c r="H73" i="11"/>
  <c r="F119" i="11"/>
  <c r="G123" i="11"/>
  <c r="F136" i="11"/>
  <c r="G140" i="11"/>
  <c r="D102" i="7"/>
  <c r="D103" i="7" s="1"/>
  <c r="E38" i="7"/>
  <c r="D102" i="8"/>
  <c r="D103" i="8" s="1"/>
  <c r="D99" i="8"/>
  <c r="D45" i="8"/>
  <c r="B69" i="8"/>
  <c r="F45" i="7"/>
  <c r="F46" i="7" s="1"/>
  <c r="D45" i="7"/>
  <c r="D46" i="7" s="1"/>
  <c r="E33" i="4"/>
  <c r="E39" i="4"/>
  <c r="D43" i="4"/>
  <c r="E21" i="4"/>
  <c r="E37" i="4"/>
  <c r="D42" i="4"/>
  <c r="E27" i="4"/>
  <c r="E35" i="4"/>
  <c r="F99" i="7"/>
  <c r="E25" i="4"/>
  <c r="D99" i="7"/>
  <c r="E23" i="4"/>
  <c r="E31" i="4"/>
  <c r="E29" i="4"/>
  <c r="F44" i="8"/>
  <c r="F45" i="8" s="1"/>
  <c r="F98" i="8"/>
  <c r="F99" i="8" s="1"/>
  <c r="G40" i="7" l="1"/>
  <c r="G39" i="7"/>
  <c r="D50" i="7" s="1"/>
  <c r="E39" i="7"/>
  <c r="G38" i="7"/>
  <c r="G42" i="7" s="1"/>
  <c r="F100" i="7"/>
  <c r="G93" i="7"/>
  <c r="G94" i="7"/>
  <c r="G92" i="7"/>
  <c r="G96" i="7" s="1"/>
  <c r="D100" i="7"/>
  <c r="E93" i="7"/>
  <c r="E94" i="7"/>
  <c r="E92" i="7"/>
  <c r="E40" i="7"/>
  <c r="F100" i="8"/>
  <c r="G93" i="8"/>
  <c r="G94" i="8"/>
  <c r="G92" i="8"/>
  <c r="D100" i="8"/>
  <c r="E93" i="8"/>
  <c r="E94" i="8"/>
  <c r="E92" i="8"/>
  <c r="F46" i="8"/>
  <c r="G40" i="8"/>
  <c r="G39" i="8"/>
  <c r="G38" i="8"/>
  <c r="D46" i="8"/>
  <c r="E39" i="8"/>
  <c r="E40" i="8"/>
  <c r="E38" i="8"/>
  <c r="C48" i="4"/>
  <c r="C47" i="4"/>
  <c r="D48" i="4"/>
  <c r="E38" i="4"/>
  <c r="E30" i="4"/>
  <c r="E22" i="4"/>
  <c r="D47" i="4"/>
  <c r="B47" i="4"/>
  <c r="E40" i="4"/>
  <c r="E24" i="4"/>
  <c r="E36" i="4"/>
  <c r="E32" i="4"/>
  <c r="E34" i="4"/>
  <c r="E28" i="4"/>
  <c r="E26" i="4"/>
  <c r="D51" i="7" l="1"/>
  <c r="G66" i="7"/>
  <c r="H66" i="7" s="1"/>
  <c r="G69" i="7"/>
  <c r="H69" i="7" s="1"/>
  <c r="G64" i="7"/>
  <c r="H64" i="7" s="1"/>
  <c r="G68" i="7"/>
  <c r="H68" i="7" s="1"/>
  <c r="G70" i="7"/>
  <c r="H70" i="7" s="1"/>
  <c r="G65" i="7"/>
  <c r="H65" i="7" s="1"/>
  <c r="G62" i="7"/>
  <c r="H62" i="7" s="1"/>
  <c r="G61" i="7"/>
  <c r="H61" i="7" s="1"/>
  <c r="G60" i="7"/>
  <c r="H60" i="7" s="1"/>
  <c r="D52" i="7"/>
  <c r="D106" i="7"/>
  <c r="D104" i="7"/>
  <c r="E96" i="7"/>
  <c r="E42" i="7"/>
  <c r="G96" i="8"/>
  <c r="D104" i="8"/>
  <c r="D106" i="8"/>
  <c r="E96" i="8"/>
  <c r="G42" i="8"/>
  <c r="D50" i="8"/>
  <c r="E42" i="8"/>
  <c r="D52" i="8"/>
  <c r="H72" i="7" l="1"/>
  <c r="H74" i="7"/>
  <c r="D105" i="7"/>
  <c r="E133" i="7"/>
  <c r="F133" i="7" s="1"/>
  <c r="E129" i="7"/>
  <c r="F129" i="7" s="1"/>
  <c r="E113" i="7"/>
  <c r="F113" i="7" s="1"/>
  <c r="E131" i="7"/>
  <c r="F131" i="7" s="1"/>
  <c r="E114" i="7"/>
  <c r="F114" i="7" s="1"/>
  <c r="E132" i="7"/>
  <c r="F132" i="7" s="1"/>
  <c r="E128" i="7"/>
  <c r="F128" i="7" s="1"/>
  <c r="E116" i="7"/>
  <c r="F116" i="7" s="1"/>
  <c r="E115" i="7"/>
  <c r="F115" i="7" s="1"/>
  <c r="E112" i="7"/>
  <c r="F112" i="7" s="1"/>
  <c r="E130" i="7"/>
  <c r="F130" i="7" s="1"/>
  <c r="E111" i="7"/>
  <c r="F111" i="7" s="1"/>
  <c r="D51" i="8"/>
  <c r="G70" i="8"/>
  <c r="H70" i="8" s="1"/>
  <c r="G64" i="8"/>
  <c r="H64" i="8" s="1"/>
  <c r="G61" i="8"/>
  <c r="H61" i="8" s="1"/>
  <c r="G68" i="8"/>
  <c r="H68" i="8" s="1"/>
  <c r="G60" i="8"/>
  <c r="H60" i="8" s="1"/>
  <c r="G66" i="8"/>
  <c r="H66" i="8" s="1"/>
  <c r="G69" i="8"/>
  <c r="H69" i="8" s="1"/>
  <c r="G65" i="8"/>
  <c r="H65" i="8" s="1"/>
  <c r="G62" i="8"/>
  <c r="H62" i="8" s="1"/>
  <c r="E111" i="8"/>
  <c r="F111" i="8" s="1"/>
  <c r="E113" i="8"/>
  <c r="F113" i="8" s="1"/>
  <c r="E114" i="8"/>
  <c r="F114" i="8" s="1"/>
  <c r="E133" i="8"/>
  <c r="F133" i="8" s="1"/>
  <c r="E130" i="8"/>
  <c r="F130" i="8" s="1"/>
  <c r="E112" i="8"/>
  <c r="F112" i="8" s="1"/>
  <c r="E129" i="8"/>
  <c r="F129" i="8" s="1"/>
  <c r="E128" i="8"/>
  <c r="F128" i="8" s="1"/>
  <c r="E115" i="8"/>
  <c r="F115" i="8" s="1"/>
  <c r="E131" i="8"/>
  <c r="F131" i="8" s="1"/>
  <c r="E116" i="8"/>
  <c r="F116" i="8" s="1"/>
  <c r="E132" i="8"/>
  <c r="F132" i="8" s="1"/>
  <c r="D105" i="8"/>
  <c r="H73" i="7" l="1"/>
  <c r="G76" i="7"/>
  <c r="F118" i="7"/>
  <c r="G123" i="7" s="1"/>
  <c r="F120" i="7"/>
  <c r="F119" i="7"/>
  <c r="F135" i="7"/>
  <c r="G140" i="7" s="1"/>
  <c r="F137" i="7"/>
  <c r="F136" i="7"/>
  <c r="H72" i="8"/>
  <c r="H74" i="8"/>
  <c r="F118" i="8"/>
  <c r="G123" i="8" s="1"/>
  <c r="F120" i="8"/>
  <c r="F135" i="8"/>
  <c r="G140" i="8" s="1"/>
  <c r="F137" i="8"/>
  <c r="G76" i="8" l="1"/>
  <c r="H73" i="8"/>
  <c r="F119" i="8"/>
  <c r="F136" i="8"/>
</calcChain>
</file>

<file path=xl/sharedStrings.xml><?xml version="1.0" encoding="utf-8"?>
<sst xmlns="http://schemas.openxmlformats.org/spreadsheetml/2006/main" count="669" uniqueCount="131">
  <si>
    <t>HPLC System Suitability Report</t>
  </si>
  <si>
    <t>Analysis Data</t>
  </si>
  <si>
    <t>Assay</t>
  </si>
  <si>
    <t>Sample(s)</t>
  </si>
  <si>
    <t>Reference Substance:</t>
  </si>
  <si>
    <t>LORABIL PLUS CAPSULES</t>
  </si>
  <si>
    <t>% age Purity:</t>
  </si>
  <si>
    <t>NDQD201503149</t>
  </si>
  <si>
    <t>Weight (mg):</t>
  </si>
  <si>
    <t>Rabeprazole sodium  &amp; Itopride hydrochloride</t>
  </si>
  <si>
    <t>Standard Conc (mg/mL):</t>
  </si>
  <si>
    <t>Each hard gelatin capsule contains: Rabeprazole Sodium (enteric coated) 20 mg, 
Itopride hydrochloride (Sustained Release) 150 mg</t>
  </si>
  <si>
    <t>2015-03-25 07:26:21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</si>
  <si>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</si>
  <si>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</si>
  <si>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</si>
  <si>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</si>
  <si>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</si>
  <si>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</si>
  <si>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</si>
  <si>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</si>
  <si>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</si>
  <si>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</si>
  <si>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</si>
  <si>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</si>
  <si>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</si>
  <si>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</si>
  <si>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</si>
  <si>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</si>
  <si>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</si>
  <si>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</si>
  <si>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</si>
  <si>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</si>
  <si>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</si>
  <si>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</si>
  <si>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</si>
  <si>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</si>
  <si>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</si>
  <si>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</si>
  <si>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</si>
  <si>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</si>
  <si>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</si>
  <si>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</si>
  <si>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</si>
  <si>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</si>
  <si>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</si>
  <si>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</si>
  <si>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</si>
  <si>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2015-08-10 14:08:10</t>
  </si>
  <si>
    <t>National Quality Control Laboratory</t>
  </si>
  <si>
    <t>Laboratory Data Calculation Spreadsheet</t>
  </si>
  <si>
    <t>Analysis Report</t>
  </si>
  <si>
    <t>Code: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</si>
  <si>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</si>
  <si>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</si>
  <si>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</si>
  <si>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</si>
  <si>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</si>
  <si>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</si>
  <si>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</si>
  <si>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</si>
  <si>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</si>
  <si>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</si>
  <si>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</si>
  <si>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</si>
  <si>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</si>
  <si>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</si>
  <si>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</si>
  <si>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</si>
  <si>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</si>
  <si>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</si>
  <si>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</si>
  <si>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</si>
  <si>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</si>
  <si>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</si>
  <si>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</si>
  <si>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</si>
  <si>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</si>
  <si>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</si>
  <si>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</si>
  <si>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</si>
  <si>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</si>
  <si>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</si>
  <si>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</si>
  <si>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</si>
  <si>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Powder Weight (mg)</t>
  </si>
  <si>
    <t>Determined Amt (mg)</t>
  </si>
  <si>
    <t>% Assay</t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</si>
  <si>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</si>
  <si>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</si>
  <si>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</si>
  <si>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</si>
  <si>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</si>
  <si>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</si>
  <si>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</si>
  <si>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</si>
  <si>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</si>
  <si>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</si>
  <si>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</si>
  <si>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</si>
  <si>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</si>
  <si>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</si>
  <si>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</si>
  <si>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Determination of Active Ingredient Dissolved</t>
  </si>
  <si>
    <t>Amt of RS (mg):</t>
  </si>
  <si>
    <t>Amt of RS as free base (mg):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</si>
  <si>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</si>
  <si>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</si>
  <si>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</si>
  <si>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</si>
  <si>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</si>
  <si>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</si>
  <si>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</si>
  <si>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If correction for water content is NOT needed, enter 0</t>
  </si>
  <si>
    <t>Initial Standard dilution (mL):</t>
  </si>
  <si>
    <t>Desired Concetration (mg/mL):</t>
  </si>
  <si>
    <t>Each Capsule/Tablet contains</t>
  </si>
  <si>
    <t>Average Capsule/Tablet Content Weight (mg):</t>
  </si>
  <si>
    <t>Initial Sample dilution (mL):</t>
  </si>
  <si>
    <t>Comment</t>
  </si>
  <si>
    <t>Analysis Data: Acid Stage</t>
  </si>
  <si>
    <t>Analysis Data: Buffer Stage</t>
  </si>
  <si>
    <t>Itopride</t>
  </si>
  <si>
    <t>ws-17/15-16</t>
  </si>
  <si>
    <t>itopride</t>
  </si>
  <si>
    <t>Rabeprazole</t>
  </si>
  <si>
    <t>Ws-16/15-16</t>
  </si>
  <si>
    <t>Analysis Data: 12 HOURS</t>
  </si>
  <si>
    <t>Analysis Data: 8 HOURS</t>
  </si>
  <si>
    <t>Analysis Data: 4 HOURS</t>
  </si>
  <si>
    <t>Analysis Data: 1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</si>
</sst>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b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8" fontId="1" fillId="2" borderId="2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" fillId="2" borderId="0" xfId="0" applyFont="1" applyFill="1" applyAlignment="1">
      <alignment horizontal="right"/>
    </xf>
    <xf numFmtId="0" fontId="1" fillId="2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170" fontId="13" fillId="3" borderId="0" xfId="0" applyNumberFormat="1" applyFont="1" applyFill="1" applyAlignment="1" applyProtection="1">
      <alignment horizontal="left" vertical="center"/>
      <protection locked="0"/>
    </xf>
    <xf numFmtId="170" fontId="11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right" vertical="center"/>
    </xf>
    <xf numFmtId="0" fontId="13" fillId="3" borderId="0" xfId="0" applyFont="1" applyFill="1" applyAlignment="1" applyProtection="1">
      <alignment horizontal="center" vertical="center"/>
      <protection locked="0"/>
    </xf>
    <xf numFmtId="0" fontId="13" fillId="3" borderId="0" xfId="0" applyFont="1" applyFill="1" applyAlignment="1" applyProtection="1">
      <alignment horizontal="center" vertic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 vertic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 vertic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vertical="center"/>
    </xf>
    <xf numFmtId="0" fontId="11" fillId="2" borderId="33" xfId="0" applyFont="1" applyFill="1" applyBorder="1" applyAlignment="1">
      <alignment horizontal="right" vertical="center"/>
    </xf>
    <xf numFmtId="0" fontId="13" fillId="3" borderId="34" xfId="0" applyFont="1" applyFill="1" applyBorder="1" applyAlignment="1" applyProtection="1">
      <alignment horizontal="center" vertical="center"/>
      <protection locked="0"/>
    </xf>
    <xf numFmtId="0" fontId="11" fillId="2" borderId="35" xfId="0" applyFont="1" applyFill="1" applyBorder="1" applyAlignment="1">
      <alignment horizontal="right" vertical="center"/>
    </xf>
    <xf numFmtId="0" fontId="13" fillId="3" borderId="36" xfId="0" applyFont="1" applyFill="1" applyBorder="1" applyAlignment="1" applyProtection="1">
      <alignment horizontal="center" vertical="center"/>
      <protection locked="0"/>
    </xf>
    <xf numFmtId="0" fontId="12" fillId="2" borderId="34" xfId="0" applyFont="1" applyFill="1" applyBorder="1" applyAlignment="1">
      <alignment horizontal="center" vertical="center"/>
    </xf>
    <xf numFmtId="0" fontId="12" fillId="2" borderId="37" xfId="0" applyFont="1" applyFill="1" applyBorder="1" applyAlignment="1">
      <alignment horizontal="center" vertical="center"/>
    </xf>
    <xf numFmtId="0" fontId="12" fillId="2" borderId="38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13" fillId="3" borderId="41" xfId="0" applyFont="1" applyFill="1" applyBorder="1" applyAlignment="1" applyProtection="1">
      <alignment horizontal="center" vertical="center"/>
      <protection locked="0"/>
    </xf>
    <xf numFmtId="171" fontId="11" fillId="2" borderId="38" xfId="0" applyNumberFormat="1" applyFont="1" applyFill="1" applyBorder="1" applyAlignment="1">
      <alignment horizontal="center" vertical="center"/>
    </xf>
    <xf numFmtId="171" fontId="11" fillId="2" borderId="42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 vertical="center"/>
    </xf>
    <xf numFmtId="0" fontId="13" fillId="3" borderId="35" xfId="0" applyFont="1" applyFill="1" applyBorder="1" applyAlignment="1" applyProtection="1">
      <alignment horizontal="center" vertical="center"/>
      <protection locked="0"/>
    </xf>
    <xf numFmtId="171" fontId="11" fillId="2" borderId="43" xfId="0" applyNumberFormat="1" applyFont="1" applyFill="1" applyBorder="1" applyAlignment="1">
      <alignment horizontal="center" vertical="center"/>
    </xf>
    <xf numFmtId="171" fontId="11" fillId="2" borderId="44" xfId="0" applyNumberFormat="1" applyFont="1" applyFill="1" applyBorder="1" applyAlignment="1">
      <alignment horizontal="center" vertic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 vertical="center"/>
    </xf>
    <xf numFmtId="0" fontId="13" fillId="3" borderId="45" xfId="0" applyFont="1" applyFill="1" applyBorder="1" applyAlignment="1" applyProtection="1">
      <alignment horizontal="center" vertical="center"/>
      <protection locked="0"/>
    </xf>
    <xf numFmtId="171" fontId="11" fillId="2" borderId="46" xfId="0" applyNumberFormat="1" applyFont="1" applyFill="1" applyBorder="1" applyAlignment="1">
      <alignment horizontal="center" vertical="center"/>
    </xf>
    <xf numFmtId="171" fontId="11" fillId="2" borderId="47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right" vertical="center"/>
    </xf>
    <xf numFmtId="1" fontId="12" fillId="6" borderId="57" xfId="0" applyNumberFormat="1" applyFont="1" applyFill="1" applyBorder="1" applyAlignment="1">
      <alignment horizontal="center" vertical="center"/>
    </xf>
    <xf numFmtId="171" fontId="12" fillId="6" borderId="48" xfId="0" applyNumberFormat="1" applyFont="1" applyFill="1" applyBorder="1" applyAlignment="1">
      <alignment horizontal="center" vertical="center"/>
    </xf>
    <xf numFmtId="1" fontId="12" fillId="6" borderId="25" xfId="0" applyNumberFormat="1" applyFont="1" applyFill="1" applyBorder="1" applyAlignment="1">
      <alignment horizontal="center" vertical="center"/>
    </xf>
    <xf numFmtId="171" fontId="12" fillId="6" borderId="49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1" fillId="2" borderId="21" xfId="0" applyFont="1" applyFill="1" applyBorder="1" applyAlignment="1">
      <alignment horizontal="right" vertical="center"/>
    </xf>
    <xf numFmtId="2" fontId="13" fillId="3" borderId="23" xfId="0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>
      <alignment vertical="center"/>
    </xf>
    <xf numFmtId="0" fontId="13" fillId="3" borderId="28" xfId="0" applyFont="1" applyFill="1" applyBorder="1" applyAlignment="1" applyProtection="1">
      <alignment horizontal="center" vertical="center"/>
      <protection locked="0"/>
    </xf>
    <xf numFmtId="0" fontId="11" fillId="2" borderId="37" xfId="0" applyFont="1" applyFill="1" applyBorder="1" applyAlignment="1">
      <alignment horizontal="right" vertical="center"/>
    </xf>
    <xf numFmtId="2" fontId="11" fillId="6" borderId="39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2" fontId="11" fillId="6" borderId="17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2" fontId="11" fillId="7" borderId="39" xfId="0" applyNumberFormat="1" applyFont="1" applyFill="1" applyBorder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2" fontId="11" fillId="7" borderId="17" xfId="0" applyNumberFormat="1" applyFont="1" applyFill="1" applyBorder="1" applyAlignment="1">
      <alignment horizontal="center" vertical="center"/>
    </xf>
    <xf numFmtId="2" fontId="11" fillId="6" borderId="18" xfId="0" applyNumberFormat="1" applyFont="1" applyFill="1" applyBorder="1" applyAlignment="1">
      <alignment horizontal="center" vertical="center"/>
    </xf>
    <xf numFmtId="0" fontId="13" fillId="3" borderId="39" xfId="0" applyFont="1" applyFill="1" applyBorder="1" applyAlignment="1" applyProtection="1">
      <alignment horizontal="center" vertical="center"/>
      <protection locked="0"/>
    </xf>
    <xf numFmtId="1" fontId="11" fillId="2" borderId="0" xfId="0" applyNumberFormat="1" applyFont="1" applyFill="1" applyAlignment="1">
      <alignment horizontal="center" vertical="center"/>
    </xf>
    <xf numFmtId="0" fontId="11" fillId="2" borderId="57" xfId="0" applyFont="1" applyFill="1" applyBorder="1" applyAlignment="1">
      <alignment horizontal="right" vertical="center"/>
    </xf>
    <xf numFmtId="2" fontId="11" fillId="7" borderId="42" xfId="0" applyNumberFormat="1" applyFont="1" applyFill="1" applyBorder="1" applyAlignment="1">
      <alignment horizontal="center" vertical="center"/>
    </xf>
    <xf numFmtId="171" fontId="11" fillId="2" borderId="0" xfId="0" applyNumberFormat="1" applyFont="1" applyFill="1" applyAlignment="1">
      <alignment horizontal="center" vertical="center"/>
    </xf>
    <xf numFmtId="0" fontId="11" fillId="2" borderId="28" xfId="0" applyFont="1" applyFill="1" applyBorder="1" applyAlignment="1">
      <alignment horizontal="right" vertical="center"/>
    </xf>
    <xf numFmtId="171" fontId="12" fillId="7" borderId="28" xfId="0" applyNumberFormat="1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right" vertical="center"/>
    </xf>
    <xf numFmtId="10" fontId="11" fillId="6" borderId="17" xfId="0" applyNumberFormat="1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right" vertical="center"/>
    </xf>
    <xf numFmtId="0" fontId="11" fillId="7" borderId="18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2" fontId="12" fillId="2" borderId="31" xfId="0" applyNumberFormat="1" applyFont="1" applyFill="1" applyBorder="1" applyAlignment="1">
      <alignment horizontal="center" vertical="center"/>
    </xf>
    <xf numFmtId="0" fontId="12" fillId="2" borderId="31" xfId="0" applyFont="1" applyFill="1" applyBorder="1" applyAlignment="1">
      <alignment horizontal="center" vertical="center"/>
    </xf>
    <xf numFmtId="0" fontId="11" fillId="2" borderId="31" xfId="0" applyFont="1" applyFill="1" applyBorder="1" applyAlignment="1">
      <alignment horizontal="center" vertical="center"/>
    </xf>
    <xf numFmtId="0" fontId="13" fillId="3" borderId="33" xfId="0" applyFont="1" applyFill="1" applyBorder="1" applyAlignment="1" applyProtection="1">
      <alignment horizontal="center" vertical="center"/>
      <protection locked="0"/>
    </xf>
    <xf numFmtId="2" fontId="11" fillId="2" borderId="33" xfId="0" applyNumberFormat="1" applyFont="1" applyFill="1" applyBorder="1" applyAlignment="1">
      <alignment horizontal="center" vertic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 vertical="center"/>
    </xf>
    <xf numFmtId="2" fontId="11" fillId="2" borderId="35" xfId="0" applyNumberFormat="1" applyFont="1" applyFill="1" applyBorder="1" applyAlignment="1">
      <alignment horizontal="center" vertical="center"/>
    </xf>
    <xf numFmtId="10" fontId="11" fillId="2" borderId="52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 vertical="center"/>
    </xf>
    <xf numFmtId="0" fontId="13" fillId="3" borderId="51" xfId="0" applyFont="1" applyFill="1" applyBorder="1" applyAlignment="1" applyProtection="1">
      <alignment horizontal="center" vertical="center"/>
      <protection locked="0"/>
    </xf>
    <xf numFmtId="2" fontId="11" fillId="2" borderId="31" xfId="0" applyNumberFormat="1" applyFont="1" applyFill="1" applyBorder="1" applyAlignment="1">
      <alignment horizontal="center" vertic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2" xfId="0" applyNumberFormat="1" applyFont="1" applyFill="1" applyBorder="1" applyAlignment="1">
      <alignment horizontal="center" vertic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 vertical="center"/>
    </xf>
    <xf numFmtId="10" fontId="11" fillId="2" borderId="53" xfId="0" applyNumberFormat="1" applyFont="1" applyFill="1" applyBorder="1" applyAlignment="1">
      <alignment horizontal="center" vertical="center"/>
    </xf>
    <xf numFmtId="0" fontId="12" fillId="2" borderId="36" xfId="0" applyFont="1" applyFill="1" applyBorder="1" applyAlignment="1">
      <alignment horizontal="center" vertical="center"/>
    </xf>
    <xf numFmtId="0" fontId="11" fillId="2" borderId="51" xfId="0" applyFont="1" applyFill="1" applyBorder="1" applyAlignment="1">
      <alignment horizontal="right" vertic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4" xfId="0" applyFont="1" applyFill="1" applyBorder="1" applyAlignment="1">
      <alignment horizontal="right" vertical="center"/>
    </xf>
    <xf numFmtId="10" fontId="13" fillId="7" borderId="15" xfId="0" applyNumberFormat="1" applyFont="1" applyFill="1" applyBorder="1" applyAlignment="1">
      <alignment horizontal="center" vertical="center"/>
    </xf>
    <xf numFmtId="10" fontId="13" fillId="6" borderId="16" xfId="0" applyNumberFormat="1" applyFont="1" applyFill="1" applyBorder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0" fontId="13" fillId="7" borderId="19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0" fontId="12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>
      <alignment horizontal="right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5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1" fillId="2" borderId="54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" fontId="12" fillId="6" borderId="55" xfId="0" applyNumberFormat="1" applyFont="1" applyFill="1" applyBorder="1" applyAlignment="1">
      <alignment horizontal="center" vertical="center"/>
    </xf>
    <xf numFmtId="1" fontId="12" fillId="6" borderId="56" xfId="0" applyNumberFormat="1" applyFont="1" applyFill="1" applyBorder="1" applyAlignment="1">
      <alignment horizontal="center" vertical="center"/>
    </xf>
    <xf numFmtId="1" fontId="12" fillId="6" borderId="32" xfId="0" applyNumberFormat="1" applyFont="1" applyFill="1" applyBorder="1" applyAlignment="1">
      <alignment horizontal="center" vertical="center"/>
    </xf>
    <xf numFmtId="0" fontId="13" fillId="3" borderId="23" xfId="0" applyFont="1" applyFill="1" applyBorder="1" applyAlignment="1" applyProtection="1">
      <alignment horizontal="center" vertical="center"/>
      <protection locked="0"/>
    </xf>
    <xf numFmtId="166" fontId="11" fillId="6" borderId="39" xfId="0" applyNumberFormat="1" applyFont="1" applyFill="1" applyBorder="1" applyAlignment="1">
      <alignment horizontal="center" vertical="center"/>
    </xf>
    <xf numFmtId="166" fontId="11" fillId="6" borderId="18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166" fontId="11" fillId="7" borderId="39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11" fillId="7" borderId="42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wrapText="1"/>
    </xf>
    <xf numFmtId="2" fontId="2" fillId="2" borderId="0" xfId="0" applyNumberFormat="1" applyFont="1" applyFill="1" applyAlignment="1">
      <alignment horizontal="center" vertical="center"/>
    </xf>
    <xf numFmtId="10" fontId="11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 vertical="center"/>
    </xf>
    <xf numFmtId="0" fontId="12" fillId="7" borderId="18" xfId="0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58" xfId="0" applyFont="1" applyFill="1" applyBorder="1" applyAlignment="1">
      <alignment horizontal="center" vertical="center"/>
    </xf>
    <xf numFmtId="0" fontId="12" fillId="2" borderId="34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/>
    </xf>
    <xf numFmtId="1" fontId="13" fillId="3" borderId="43" xfId="0" applyNumberFormat="1" applyFont="1" applyFill="1" applyBorder="1" applyAlignment="1" applyProtection="1">
      <alignment horizontal="center" vertical="center"/>
      <protection locked="0"/>
    </xf>
    <xf numFmtId="2" fontId="11" fillId="2" borderId="38" xfId="0" applyNumberFormat="1" applyFont="1" applyFill="1" applyBorder="1" applyAlignment="1">
      <alignment horizontal="center" vertical="center"/>
    </xf>
    <xf numFmtId="10" fontId="11" fillId="2" borderId="42" xfId="0" applyNumberFormat="1" applyFont="1" applyFill="1" applyBorder="1" applyAlignment="1">
      <alignment horizontal="center" vertical="center"/>
    </xf>
    <xf numFmtId="2" fontId="11" fillId="2" borderId="43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1" fillId="2" borderId="45" xfId="0" applyFont="1" applyFill="1" applyBorder="1" applyAlignment="1">
      <alignment horizontal="center" vertical="center"/>
    </xf>
    <xf numFmtId="1" fontId="13" fillId="3" borderId="46" xfId="0" applyNumberFormat="1" applyFont="1" applyFill="1" applyBorder="1" applyAlignment="1" applyProtection="1">
      <alignment horizontal="center" vertical="center"/>
      <protection locked="0"/>
    </xf>
    <xf numFmtId="2" fontId="11" fillId="2" borderId="46" xfId="0" applyNumberFormat="1" applyFont="1" applyFill="1" applyBorder="1" applyAlignment="1">
      <alignment horizontal="center" vertical="center"/>
    </xf>
    <xf numFmtId="10" fontId="11" fillId="2" borderId="47" xfId="0" applyNumberFormat="1" applyFont="1" applyFill="1" applyBorder="1" applyAlignment="1">
      <alignment horizontal="center" vertical="center"/>
    </xf>
    <xf numFmtId="2" fontId="11" fillId="2" borderId="36" xfId="0" applyNumberFormat="1" applyFont="1" applyFill="1" applyBorder="1" applyAlignment="1">
      <alignment horizontal="center" vertical="center"/>
    </xf>
    <xf numFmtId="171" fontId="12" fillId="2" borderId="0" xfId="0" applyNumberFormat="1" applyFont="1" applyFill="1" applyAlignment="1">
      <alignment horizontal="center" vertical="center"/>
    </xf>
    <xf numFmtId="171" fontId="11" fillId="2" borderId="2" xfId="0" applyNumberFormat="1" applyFont="1" applyFill="1" applyBorder="1" applyAlignment="1">
      <alignment horizontal="right" vertical="center"/>
    </xf>
    <xf numFmtId="10" fontId="13" fillId="7" borderId="39" xfId="0" applyNumberFormat="1" applyFont="1" applyFill="1" applyBorder="1" applyAlignment="1">
      <alignment horizontal="center" vertical="center"/>
    </xf>
    <xf numFmtId="0" fontId="12" fillId="2" borderId="36" xfId="0" applyFont="1" applyFill="1" applyBorder="1" applyAlignment="1">
      <alignment horizontal="center" vertical="center"/>
    </xf>
    <xf numFmtId="0" fontId="11" fillId="2" borderId="35" xfId="0" applyFont="1" applyFill="1" applyBorder="1" applyAlignment="1">
      <alignment vertical="center"/>
    </xf>
    <xf numFmtId="0" fontId="11" fillId="2" borderId="6" xfId="0" applyFont="1" applyFill="1" applyBorder="1" applyAlignment="1">
      <alignment vertical="center"/>
    </xf>
    <xf numFmtId="10" fontId="13" fillId="6" borderId="39" xfId="0" applyNumberFormat="1" applyFont="1" applyFill="1" applyBorder="1" applyAlignment="1">
      <alignment horizontal="center" vertical="center"/>
    </xf>
    <xf numFmtId="0" fontId="11" fillId="2" borderId="51" xfId="0" applyFont="1" applyFill="1" applyBorder="1" applyAlignment="1">
      <alignment vertical="center"/>
    </xf>
    <xf numFmtId="0" fontId="11" fillId="2" borderId="59" xfId="0" applyFont="1" applyFill="1" applyBorder="1" applyAlignment="1">
      <alignment horizontal="center" vertical="center"/>
    </xf>
    <xf numFmtId="0" fontId="11" fillId="2" borderId="60" xfId="0" applyFont="1" applyFill="1" applyBorder="1" applyAlignment="1">
      <alignment horizontal="right" vertical="center"/>
    </xf>
    <xf numFmtId="0" fontId="13" fillId="7" borderId="18" xfId="0" applyFont="1" applyFill="1" applyBorder="1" applyAlignment="1">
      <alignment horizontal="center" vertical="center"/>
    </xf>
    <xf numFmtId="2" fontId="11" fillId="2" borderId="4" xfId="0" applyNumberFormat="1" applyFont="1" applyFill="1" applyBorder="1" applyAlignment="1">
      <alignment horizontal="center" vertical="center"/>
    </xf>
    <xf numFmtId="10" fontId="11" fillId="2" borderId="40" xfId="0" applyNumberFormat="1" applyFont="1" applyFill="1" applyBorder="1" applyAlignment="1">
      <alignment horizontal="center" vertical="center"/>
    </xf>
    <xf numFmtId="2" fontId="11" fillId="2" borderId="3" xfId="0" applyNumberFormat="1" applyFont="1" applyFill="1" applyBorder="1" applyAlignment="1">
      <alignment horizontal="center" vertic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5" xfId="0" applyNumberFormat="1" applyFont="1" applyFill="1" applyBorder="1" applyAlignment="1">
      <alignment horizontal="center" vertic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43" xfId="0" applyFont="1" applyFill="1" applyBorder="1" applyAlignment="1">
      <alignment horizontal="right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62" xfId="0" applyFont="1" applyFill="1" applyBorder="1" applyAlignment="1">
      <alignment horizontal="right" vertic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vertical="center"/>
    </xf>
    <xf numFmtId="0" fontId="11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right" vertical="center"/>
    </xf>
    <xf numFmtId="0" fontId="11" fillId="2" borderId="7" xfId="0" applyFont="1" applyFill="1" applyBorder="1" applyAlignment="1">
      <alignment vertical="center"/>
    </xf>
    <xf numFmtId="0" fontId="11" fillId="2" borderId="7" xfId="0" applyFont="1" applyFill="1" applyBorder="1" applyAlignment="1">
      <alignment vertical="center"/>
    </xf>
    <xf numFmtId="0" fontId="12" fillId="2" borderId="11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166" fontId="12" fillId="2" borderId="0" xfId="0" applyNumberFormat="1" applyFont="1" applyFill="1" applyAlignment="1" applyProtection="1">
      <alignment horizontal="center" vertical="center"/>
      <protection locked="0"/>
    </xf>
    <xf numFmtId="165" fontId="13" fillId="2" borderId="0" xfId="0" applyNumberFormat="1" applyFont="1" applyFill="1" applyAlignment="1">
      <alignment horizontal="center" vertical="center"/>
    </xf>
    <xf numFmtId="2" fontId="14" fillId="2" borderId="53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170" fontId="13" fillId="3" borderId="0" xfId="0" applyNumberFormat="1" applyFont="1" applyFill="1" applyAlignment="1" applyProtection="1">
      <alignment horizontal="left" vertical="center"/>
      <protection locked="0"/>
    </xf>
    <xf numFmtId="170" fontId="11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right" vertical="center"/>
    </xf>
    <xf numFmtId="0" fontId="13" fillId="3" borderId="0" xfId="0" applyFont="1" applyFill="1" applyAlignment="1" applyProtection="1">
      <alignment horizontal="center" vertical="center"/>
      <protection locked="0"/>
    </xf>
    <xf numFmtId="0" fontId="13" fillId="3" borderId="0" xfId="0" applyFont="1" applyFill="1" applyAlignment="1" applyProtection="1">
      <alignment horizontal="center" vertic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 vertic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 vertic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vertical="center"/>
    </xf>
    <xf numFmtId="0" fontId="11" fillId="2" borderId="33" xfId="0" applyFont="1" applyFill="1" applyBorder="1" applyAlignment="1">
      <alignment horizontal="right" vertical="center"/>
    </xf>
    <xf numFmtId="0" fontId="13" fillId="3" borderId="34" xfId="0" applyFont="1" applyFill="1" applyBorder="1" applyAlignment="1" applyProtection="1">
      <alignment horizontal="center" vertical="center"/>
      <protection locked="0"/>
    </xf>
    <xf numFmtId="0" fontId="11" fillId="2" borderId="35" xfId="0" applyFont="1" applyFill="1" applyBorder="1" applyAlignment="1">
      <alignment horizontal="right" vertical="center"/>
    </xf>
    <xf numFmtId="0" fontId="13" fillId="3" borderId="36" xfId="0" applyFont="1" applyFill="1" applyBorder="1" applyAlignment="1" applyProtection="1">
      <alignment horizontal="center" vertical="center"/>
      <protection locked="0"/>
    </xf>
    <xf numFmtId="0" fontId="12" fillId="2" borderId="34" xfId="0" applyFont="1" applyFill="1" applyBorder="1" applyAlignment="1">
      <alignment horizontal="center" vertical="center"/>
    </xf>
    <xf numFmtId="0" fontId="12" fillId="2" borderId="37" xfId="0" applyFont="1" applyFill="1" applyBorder="1" applyAlignment="1">
      <alignment horizontal="center" vertical="center"/>
    </xf>
    <xf numFmtId="0" fontId="12" fillId="2" borderId="38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13" fillId="3" borderId="41" xfId="0" applyFont="1" applyFill="1" applyBorder="1" applyAlignment="1" applyProtection="1">
      <alignment horizontal="center" vertical="center"/>
      <protection locked="0"/>
    </xf>
    <xf numFmtId="171" fontId="11" fillId="2" borderId="38" xfId="0" applyNumberFormat="1" applyFont="1" applyFill="1" applyBorder="1" applyAlignment="1">
      <alignment horizontal="center" vertical="center"/>
    </xf>
    <xf numFmtId="171" fontId="11" fillId="2" borderId="42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 vertical="center"/>
    </xf>
    <xf numFmtId="0" fontId="13" fillId="3" borderId="35" xfId="0" applyFont="1" applyFill="1" applyBorder="1" applyAlignment="1" applyProtection="1">
      <alignment horizontal="center" vertical="center"/>
      <protection locked="0"/>
    </xf>
    <xf numFmtId="171" fontId="11" fillId="2" borderId="43" xfId="0" applyNumberFormat="1" applyFont="1" applyFill="1" applyBorder="1" applyAlignment="1">
      <alignment horizontal="center" vertical="center"/>
    </xf>
    <xf numFmtId="171" fontId="11" fillId="2" borderId="44" xfId="0" applyNumberFormat="1" applyFont="1" applyFill="1" applyBorder="1" applyAlignment="1">
      <alignment horizontal="center" vertic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 vertical="center"/>
    </xf>
    <xf numFmtId="0" fontId="13" fillId="3" borderId="45" xfId="0" applyFont="1" applyFill="1" applyBorder="1" applyAlignment="1" applyProtection="1">
      <alignment horizontal="center" vertical="center"/>
      <protection locked="0"/>
    </xf>
    <xf numFmtId="171" fontId="11" fillId="2" borderId="46" xfId="0" applyNumberFormat="1" applyFont="1" applyFill="1" applyBorder="1" applyAlignment="1">
      <alignment horizontal="center" vertical="center"/>
    </xf>
    <xf numFmtId="171" fontId="11" fillId="2" borderId="47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right" vertical="center"/>
    </xf>
    <xf numFmtId="1" fontId="12" fillId="6" borderId="57" xfId="0" applyNumberFormat="1" applyFont="1" applyFill="1" applyBorder="1" applyAlignment="1">
      <alignment horizontal="center" vertical="center"/>
    </xf>
    <xf numFmtId="171" fontId="12" fillId="6" borderId="48" xfId="0" applyNumberFormat="1" applyFont="1" applyFill="1" applyBorder="1" applyAlignment="1">
      <alignment horizontal="center" vertical="center"/>
    </xf>
    <xf numFmtId="1" fontId="12" fillId="6" borderId="25" xfId="0" applyNumberFormat="1" applyFont="1" applyFill="1" applyBorder="1" applyAlignment="1">
      <alignment horizontal="center" vertical="center"/>
    </xf>
    <xf numFmtId="171" fontId="12" fillId="6" borderId="49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1" fillId="2" borderId="21" xfId="0" applyFont="1" applyFill="1" applyBorder="1" applyAlignment="1">
      <alignment horizontal="right" vertical="center"/>
    </xf>
    <xf numFmtId="2" fontId="13" fillId="3" borderId="23" xfId="0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>
      <alignment vertical="center"/>
    </xf>
    <xf numFmtId="0" fontId="13" fillId="3" borderId="28" xfId="0" applyFont="1" applyFill="1" applyBorder="1" applyAlignment="1" applyProtection="1">
      <alignment horizontal="center" vertical="center"/>
      <protection locked="0"/>
    </xf>
    <xf numFmtId="0" fontId="11" fillId="2" borderId="37" xfId="0" applyFont="1" applyFill="1" applyBorder="1" applyAlignment="1">
      <alignment horizontal="right" vertical="center"/>
    </xf>
    <xf numFmtId="2" fontId="11" fillId="6" borderId="39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2" fontId="11" fillId="6" borderId="17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2" fontId="11" fillId="7" borderId="39" xfId="0" applyNumberFormat="1" applyFont="1" applyFill="1" applyBorder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2" fontId="11" fillId="7" borderId="17" xfId="0" applyNumberFormat="1" applyFont="1" applyFill="1" applyBorder="1" applyAlignment="1">
      <alignment horizontal="center" vertical="center"/>
    </xf>
    <xf numFmtId="2" fontId="11" fillId="6" borderId="18" xfId="0" applyNumberFormat="1" applyFont="1" applyFill="1" applyBorder="1" applyAlignment="1">
      <alignment horizontal="center" vertical="center"/>
    </xf>
    <xf numFmtId="0" fontId="13" fillId="3" borderId="39" xfId="0" applyFont="1" applyFill="1" applyBorder="1" applyAlignment="1" applyProtection="1">
      <alignment horizontal="center" vertical="center"/>
      <protection locked="0"/>
    </xf>
    <xf numFmtId="1" fontId="11" fillId="2" borderId="0" xfId="0" applyNumberFormat="1" applyFont="1" applyFill="1" applyAlignment="1">
      <alignment horizontal="center" vertical="center"/>
    </xf>
    <xf numFmtId="0" fontId="11" fillId="2" borderId="57" xfId="0" applyFont="1" applyFill="1" applyBorder="1" applyAlignment="1">
      <alignment horizontal="right" vertical="center"/>
    </xf>
    <xf numFmtId="2" fontId="11" fillId="7" borderId="42" xfId="0" applyNumberFormat="1" applyFont="1" applyFill="1" applyBorder="1" applyAlignment="1">
      <alignment horizontal="center" vertical="center"/>
    </xf>
    <xf numFmtId="171" fontId="11" fillId="2" borderId="0" xfId="0" applyNumberFormat="1" applyFont="1" applyFill="1" applyAlignment="1">
      <alignment horizontal="center" vertical="center"/>
    </xf>
    <xf numFmtId="0" fontId="11" fillId="2" borderId="28" xfId="0" applyFont="1" applyFill="1" applyBorder="1" applyAlignment="1">
      <alignment horizontal="right" vertical="center"/>
    </xf>
    <xf numFmtId="171" fontId="12" fillId="7" borderId="28" xfId="0" applyNumberFormat="1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right" vertical="center"/>
    </xf>
    <xf numFmtId="10" fontId="11" fillId="6" borderId="17" xfId="0" applyNumberFormat="1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right" vertical="center"/>
    </xf>
    <xf numFmtId="0" fontId="11" fillId="7" borderId="18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2" fontId="12" fillId="2" borderId="31" xfId="0" applyNumberFormat="1" applyFont="1" applyFill="1" applyBorder="1" applyAlignment="1">
      <alignment horizontal="center" vertical="center"/>
    </xf>
    <xf numFmtId="0" fontId="12" fillId="2" borderId="31" xfId="0" applyFont="1" applyFill="1" applyBorder="1" applyAlignment="1">
      <alignment horizontal="center" vertical="center"/>
    </xf>
    <xf numFmtId="0" fontId="11" fillId="2" borderId="31" xfId="0" applyFont="1" applyFill="1" applyBorder="1" applyAlignment="1">
      <alignment horizontal="center" vertical="center"/>
    </xf>
    <xf numFmtId="0" fontId="13" fillId="3" borderId="33" xfId="0" applyFont="1" applyFill="1" applyBorder="1" applyAlignment="1" applyProtection="1">
      <alignment horizontal="center" vertical="center"/>
      <protection locked="0"/>
    </xf>
    <xf numFmtId="2" fontId="11" fillId="2" borderId="33" xfId="0" applyNumberFormat="1" applyFont="1" applyFill="1" applyBorder="1" applyAlignment="1">
      <alignment horizontal="center" vertic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 vertical="center"/>
    </xf>
    <xf numFmtId="2" fontId="11" fillId="2" borderId="35" xfId="0" applyNumberFormat="1" applyFont="1" applyFill="1" applyBorder="1" applyAlignment="1">
      <alignment horizontal="center" vertical="center"/>
    </xf>
    <xf numFmtId="10" fontId="11" fillId="2" borderId="52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 vertical="center"/>
    </xf>
    <xf numFmtId="0" fontId="13" fillId="3" borderId="51" xfId="0" applyFont="1" applyFill="1" applyBorder="1" applyAlignment="1" applyProtection="1">
      <alignment horizontal="center" vertical="center"/>
      <protection locked="0"/>
    </xf>
    <xf numFmtId="2" fontId="11" fillId="2" borderId="31" xfId="0" applyNumberFormat="1" applyFont="1" applyFill="1" applyBorder="1" applyAlignment="1">
      <alignment horizontal="center" vertic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2" xfId="0" applyNumberFormat="1" applyFont="1" applyFill="1" applyBorder="1" applyAlignment="1">
      <alignment horizontal="center" vertic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 vertical="center"/>
    </xf>
    <xf numFmtId="10" fontId="11" fillId="2" borderId="53" xfId="0" applyNumberFormat="1" applyFont="1" applyFill="1" applyBorder="1" applyAlignment="1">
      <alignment horizontal="center" vertical="center"/>
    </xf>
    <xf numFmtId="0" fontId="12" fillId="2" borderId="36" xfId="0" applyFont="1" applyFill="1" applyBorder="1" applyAlignment="1">
      <alignment horizontal="center" vertical="center"/>
    </xf>
    <xf numFmtId="0" fontId="11" fillId="2" borderId="51" xfId="0" applyFont="1" applyFill="1" applyBorder="1" applyAlignment="1">
      <alignment horizontal="right" vertic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4" xfId="0" applyFont="1" applyFill="1" applyBorder="1" applyAlignment="1">
      <alignment horizontal="right" vertical="center"/>
    </xf>
    <xf numFmtId="10" fontId="13" fillId="7" borderId="15" xfId="0" applyNumberFormat="1" applyFont="1" applyFill="1" applyBorder="1" applyAlignment="1">
      <alignment horizontal="center" vertical="center"/>
    </xf>
    <xf numFmtId="10" fontId="13" fillId="6" borderId="16" xfId="0" applyNumberFormat="1" applyFont="1" applyFill="1" applyBorder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0" fontId="13" fillId="7" borderId="19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0" fontId="12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>
      <alignment horizontal="right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5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1" fillId="2" borderId="54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71" fontId="13" fillId="3" borderId="45" xfId="0" applyNumberFormat="1" applyFont="1" applyFill="1" applyBorder="1" applyAlignment="1" applyProtection="1">
      <alignment horizontal="center" vertical="center"/>
      <protection locked="0"/>
    </xf>
    <xf numFmtId="1" fontId="12" fillId="6" borderId="55" xfId="0" applyNumberFormat="1" applyFont="1" applyFill="1" applyBorder="1" applyAlignment="1">
      <alignment horizontal="center" vertical="center"/>
    </xf>
    <xf numFmtId="1" fontId="12" fillId="6" borderId="56" xfId="0" applyNumberFormat="1" applyFont="1" applyFill="1" applyBorder="1" applyAlignment="1">
      <alignment horizontal="center" vertical="center"/>
    </xf>
    <xf numFmtId="1" fontId="12" fillId="6" borderId="32" xfId="0" applyNumberFormat="1" applyFont="1" applyFill="1" applyBorder="1" applyAlignment="1">
      <alignment horizontal="center" vertical="center"/>
    </xf>
    <xf numFmtId="0" fontId="13" fillId="3" borderId="23" xfId="0" applyFont="1" applyFill="1" applyBorder="1" applyAlignment="1" applyProtection="1">
      <alignment horizontal="center" vertical="center"/>
      <protection locked="0"/>
    </xf>
    <xf numFmtId="166" fontId="11" fillId="6" borderId="39" xfId="0" applyNumberFormat="1" applyFont="1" applyFill="1" applyBorder="1" applyAlignment="1">
      <alignment horizontal="center" vertical="center"/>
    </xf>
    <xf numFmtId="166" fontId="11" fillId="6" borderId="18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166" fontId="11" fillId="7" borderId="39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11" fillId="7" borderId="42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wrapText="1"/>
    </xf>
    <xf numFmtId="2" fontId="2" fillId="2" borderId="0" xfId="0" applyNumberFormat="1" applyFont="1" applyFill="1" applyAlignment="1">
      <alignment horizontal="center" vertical="center"/>
    </xf>
    <xf numFmtId="10" fontId="11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 vertical="center"/>
    </xf>
    <xf numFmtId="0" fontId="12" fillId="7" borderId="18" xfId="0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58" xfId="0" applyFont="1" applyFill="1" applyBorder="1" applyAlignment="1">
      <alignment horizontal="center" vertical="center"/>
    </xf>
    <xf numFmtId="0" fontId="12" fillId="2" borderId="34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/>
    </xf>
    <xf numFmtId="1" fontId="13" fillId="3" borderId="43" xfId="0" applyNumberFormat="1" applyFont="1" applyFill="1" applyBorder="1" applyAlignment="1" applyProtection="1">
      <alignment horizontal="center" vertical="center"/>
      <protection locked="0"/>
    </xf>
    <xf numFmtId="2" fontId="11" fillId="2" borderId="38" xfId="0" applyNumberFormat="1" applyFont="1" applyFill="1" applyBorder="1" applyAlignment="1">
      <alignment horizontal="center" vertical="center"/>
    </xf>
    <xf numFmtId="10" fontId="11" fillId="2" borderId="42" xfId="0" applyNumberFormat="1" applyFont="1" applyFill="1" applyBorder="1" applyAlignment="1">
      <alignment horizontal="center" vertical="center"/>
    </xf>
    <xf numFmtId="2" fontId="11" fillId="2" borderId="43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1" fillId="2" borderId="45" xfId="0" applyFont="1" applyFill="1" applyBorder="1" applyAlignment="1">
      <alignment horizontal="center" vertical="center"/>
    </xf>
    <xf numFmtId="1" fontId="13" fillId="3" borderId="46" xfId="0" applyNumberFormat="1" applyFont="1" applyFill="1" applyBorder="1" applyAlignment="1" applyProtection="1">
      <alignment horizontal="center" vertical="center"/>
      <protection locked="0"/>
    </xf>
    <xf numFmtId="2" fontId="11" fillId="2" borderId="46" xfId="0" applyNumberFormat="1" applyFont="1" applyFill="1" applyBorder="1" applyAlignment="1">
      <alignment horizontal="center" vertical="center"/>
    </xf>
    <xf numFmtId="10" fontId="11" fillId="2" borderId="47" xfId="0" applyNumberFormat="1" applyFont="1" applyFill="1" applyBorder="1" applyAlignment="1">
      <alignment horizontal="center" vertical="center"/>
    </xf>
    <xf numFmtId="2" fontId="11" fillId="2" borderId="36" xfId="0" applyNumberFormat="1" applyFont="1" applyFill="1" applyBorder="1" applyAlignment="1">
      <alignment horizontal="center" vertical="center"/>
    </xf>
    <xf numFmtId="171" fontId="12" fillId="2" borderId="0" xfId="0" applyNumberFormat="1" applyFont="1" applyFill="1" applyAlignment="1">
      <alignment horizontal="center" vertical="center"/>
    </xf>
    <xf numFmtId="171" fontId="11" fillId="2" borderId="2" xfId="0" applyNumberFormat="1" applyFont="1" applyFill="1" applyBorder="1" applyAlignment="1">
      <alignment horizontal="right" vertical="center"/>
    </xf>
    <xf numFmtId="10" fontId="13" fillId="7" borderId="39" xfId="0" applyNumberFormat="1" applyFont="1" applyFill="1" applyBorder="1" applyAlignment="1">
      <alignment horizontal="center" vertical="center"/>
    </xf>
    <xf numFmtId="0" fontId="12" fillId="2" borderId="36" xfId="0" applyFont="1" applyFill="1" applyBorder="1" applyAlignment="1">
      <alignment horizontal="center" vertical="center"/>
    </xf>
    <xf numFmtId="0" fontId="11" fillId="2" borderId="35" xfId="0" applyFont="1" applyFill="1" applyBorder="1" applyAlignment="1">
      <alignment vertical="center"/>
    </xf>
    <xf numFmtId="0" fontId="11" fillId="2" borderId="6" xfId="0" applyFont="1" applyFill="1" applyBorder="1" applyAlignment="1">
      <alignment vertical="center"/>
    </xf>
    <xf numFmtId="10" fontId="13" fillId="6" borderId="39" xfId="0" applyNumberFormat="1" applyFont="1" applyFill="1" applyBorder="1" applyAlignment="1">
      <alignment horizontal="center" vertical="center"/>
    </xf>
    <xf numFmtId="0" fontId="11" fillId="2" borderId="51" xfId="0" applyFont="1" applyFill="1" applyBorder="1" applyAlignment="1">
      <alignment vertical="center"/>
    </xf>
    <xf numFmtId="0" fontId="11" fillId="2" borderId="59" xfId="0" applyFont="1" applyFill="1" applyBorder="1" applyAlignment="1">
      <alignment horizontal="center" vertical="center"/>
    </xf>
    <xf numFmtId="0" fontId="11" fillId="2" borderId="60" xfId="0" applyFont="1" applyFill="1" applyBorder="1" applyAlignment="1">
      <alignment horizontal="right" vertical="center"/>
    </xf>
    <xf numFmtId="0" fontId="13" fillId="7" borderId="18" xfId="0" applyFont="1" applyFill="1" applyBorder="1" applyAlignment="1">
      <alignment horizontal="center" vertical="center"/>
    </xf>
    <xf numFmtId="2" fontId="11" fillId="2" borderId="4" xfId="0" applyNumberFormat="1" applyFont="1" applyFill="1" applyBorder="1" applyAlignment="1">
      <alignment horizontal="center" vertical="center"/>
    </xf>
    <xf numFmtId="10" fontId="11" fillId="2" borderId="40" xfId="0" applyNumberFormat="1" applyFont="1" applyFill="1" applyBorder="1" applyAlignment="1">
      <alignment horizontal="center" vertical="center"/>
    </xf>
    <xf numFmtId="2" fontId="11" fillId="2" borderId="3" xfId="0" applyNumberFormat="1" applyFont="1" applyFill="1" applyBorder="1" applyAlignment="1">
      <alignment horizontal="center" vertic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5" xfId="0" applyNumberFormat="1" applyFont="1" applyFill="1" applyBorder="1" applyAlignment="1">
      <alignment horizontal="center" vertic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43" xfId="0" applyFont="1" applyFill="1" applyBorder="1" applyAlignment="1">
      <alignment horizontal="right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62" xfId="0" applyFont="1" applyFill="1" applyBorder="1" applyAlignment="1">
      <alignment horizontal="right" vertic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vertical="center"/>
    </xf>
    <xf numFmtId="0" fontId="11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right" vertical="center"/>
    </xf>
    <xf numFmtId="0" fontId="11" fillId="2" borderId="7" xfId="0" applyFont="1" applyFill="1" applyBorder="1" applyAlignment="1">
      <alignment vertical="center"/>
    </xf>
    <xf numFmtId="0" fontId="11" fillId="2" borderId="7" xfId="0" applyFont="1" applyFill="1" applyBorder="1" applyAlignment="1">
      <alignment vertical="center"/>
    </xf>
    <xf numFmtId="0" fontId="12" fillId="2" borderId="11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166" fontId="12" fillId="2" borderId="0" xfId="0" applyNumberFormat="1" applyFont="1" applyFill="1" applyAlignment="1" applyProtection="1">
      <alignment horizontal="center" vertical="center"/>
      <protection locked="0"/>
    </xf>
    <xf numFmtId="165" fontId="13" fillId="2" borderId="0" xfId="0" applyNumberFormat="1" applyFont="1" applyFill="1" applyAlignment="1">
      <alignment horizontal="center" vertical="center"/>
    </xf>
    <xf numFmtId="2" fontId="14" fillId="2" borderId="53" xfId="0" applyNumberFormat="1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31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9" fillId="2" borderId="61" xfId="0" applyFont="1" applyFill="1" applyBorder="1" applyAlignment="1">
      <alignment horizontal="left" vertical="center" wrapText="1"/>
    </xf>
    <xf numFmtId="0" fontId="19" fillId="2" borderId="30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horizontal="left" vertical="center" wrapText="1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61" xfId="0" applyFont="1" applyFill="1" applyBorder="1" applyAlignment="1">
      <alignment horizontal="center"/>
    </xf>
    <xf numFmtId="0" fontId="19" fillId="2" borderId="30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 vertical="center"/>
      <protection locked="0"/>
    </xf>
    <xf numFmtId="0" fontId="19" fillId="2" borderId="61" xfId="0" applyFont="1" applyFill="1" applyBorder="1" applyAlignment="1">
      <alignment horizontal="justify" vertical="center" wrapText="1"/>
    </xf>
    <xf numFmtId="0" fontId="19" fillId="2" borderId="30" xfId="0" applyFont="1" applyFill="1" applyBorder="1" applyAlignment="1">
      <alignment horizontal="justify" vertical="center" wrapText="1"/>
    </xf>
    <xf numFmtId="0" fontId="19" fillId="2" borderId="13" xfId="0" applyFont="1" applyFill="1" applyBorder="1" applyAlignment="1">
      <alignment horizontal="justify" vertical="center" wrapText="1"/>
    </xf>
    <xf numFmtId="0" fontId="12" fillId="2" borderId="0" xfId="0" applyFont="1" applyFill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19" fillId="2" borderId="51" xfId="0" applyFont="1" applyFill="1" applyBorder="1" applyAlignment="1">
      <alignment horizontal="left" vertical="center" wrapText="1"/>
    </xf>
    <xf numFmtId="0" fontId="19" fillId="2" borderId="53" xfId="0" applyFont="1" applyFill="1" applyBorder="1" applyAlignment="1">
      <alignment horizontal="left" vertical="center" wrapText="1"/>
    </xf>
    <xf numFmtId="0" fontId="12" fillId="2" borderId="31" xfId="0" applyFont="1" applyFill="1" applyBorder="1" applyAlignment="1">
      <alignment horizontal="center" vertical="center"/>
    </xf>
    <xf numFmtId="0" fontId="12" fillId="2" borderId="52" xfId="0" applyFont="1" applyFill="1" applyBorder="1" applyAlignment="1">
      <alignment horizontal="center" vertical="center"/>
    </xf>
    <xf numFmtId="0" fontId="12" fillId="2" borderId="32" xfId="0" applyFont="1" applyFill="1" applyBorder="1" applyAlignment="1">
      <alignment horizontal="center" vertical="center"/>
    </xf>
    <xf numFmtId="2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3" fillId="3" borderId="52" xfId="0" applyNumberFormat="1" applyFont="1" applyFill="1" applyBorder="1" applyAlignment="1" applyProtection="1">
      <alignment horizontal="center" vertical="center"/>
      <protection locked="0"/>
    </xf>
    <xf numFmtId="2" fontId="13" fillId="3" borderId="32" xfId="0" applyNumberFormat="1" applyFont="1" applyFill="1" applyBorder="1" applyAlignment="1" applyProtection="1">
      <alignment horizontal="center" vertical="center"/>
      <protection locked="0"/>
    </xf>
    <xf numFmtId="0" fontId="19" fillId="2" borderId="33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51" xfId="0" applyFont="1" applyFill="1" applyBorder="1" applyAlignment="1">
      <alignment horizontal="center" vertical="center" wrapText="1"/>
    </xf>
    <xf numFmtId="0" fontId="19" fillId="2" borderId="53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1" xfId="0" applyFont="1" applyFill="1" applyBorder="1" applyAlignment="1">
      <alignment horizontal="center" vertical="center"/>
    </xf>
    <xf numFmtId="0" fontId="24" fillId="2" borderId="0" xfId="0" applyFont="1" applyFill="1" applyAlignment="1">
      <alignment horizontal="right"/>
    </xf>
    <xf numFmtId="0" fontId="24" fillId="2" borderId="0" xfId="0" applyFont="1" applyFill="1"/>
  </cellXfs>
  <cellStyles count="1">
    <cellStyle name="Normal" xfId="0" builtinId="0"/>
  </cellStyles>
  <dxfs count="29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topLeftCell="A36" workbookViewId="0">
      <selection activeCell="B65" sqref="B65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8"/>
      <c r="B1" s="69"/>
      <c r="C1" s="68"/>
      <c r="D1" s="70"/>
      <c r="E1" s="71"/>
      <c r="F1" s="69"/>
      <c r="G1" s="71"/>
      <c r="H1" s="53"/>
      <c r="I1" s="54"/>
      <c r="J1" s="53"/>
      <c r="K1" s="62"/>
      <c r="L1" s="53"/>
      <c r="M1" s="54"/>
      <c r="N1" s="53"/>
      <c r="O1" s="54"/>
    </row>
    <row r="2" spans="1:15" ht="15" x14ac:dyDescent="0.3">
      <c r="A2" s="68"/>
      <c r="B2" s="69"/>
      <c r="C2" s="68"/>
      <c r="D2" s="70"/>
      <c r="E2" s="72"/>
      <c r="F2" s="69"/>
      <c r="G2" s="72"/>
      <c r="H2" s="55"/>
      <c r="I2" s="54"/>
      <c r="J2" s="55"/>
      <c r="K2" s="62"/>
      <c r="L2" s="55"/>
      <c r="M2" s="62"/>
      <c r="N2" s="55"/>
      <c r="O2" s="62"/>
    </row>
    <row r="3" spans="1:15" ht="15" x14ac:dyDescent="0.3">
      <c r="A3" s="68"/>
      <c r="B3" s="69"/>
      <c r="C3" s="68"/>
      <c r="D3" s="70"/>
      <c r="E3" s="72"/>
      <c r="F3" s="69"/>
      <c r="G3" s="72"/>
      <c r="H3" s="55"/>
      <c r="I3" s="54"/>
      <c r="J3" s="55"/>
      <c r="K3" s="62"/>
      <c r="L3" s="55"/>
      <c r="M3" s="62"/>
      <c r="N3" s="55"/>
      <c r="O3" s="62"/>
    </row>
    <row r="4" spans="1:15" ht="15" x14ac:dyDescent="0.3">
      <c r="A4" s="68"/>
      <c r="B4" s="69"/>
      <c r="C4" s="68"/>
      <c r="D4" s="70"/>
      <c r="E4" s="72"/>
      <c r="F4" s="69"/>
      <c r="G4" s="72"/>
      <c r="H4" s="55"/>
      <c r="I4" s="54"/>
      <c r="J4" s="55"/>
      <c r="K4" s="62"/>
      <c r="L4" s="55"/>
      <c r="M4" s="62"/>
      <c r="N4" s="55"/>
      <c r="O4" s="62"/>
    </row>
    <row r="5" spans="1:15" ht="15" x14ac:dyDescent="0.3">
      <c r="A5" s="68"/>
      <c r="B5" s="69"/>
      <c r="C5" s="68"/>
      <c r="D5" s="70"/>
      <c r="E5" s="72"/>
      <c r="F5" s="69"/>
      <c r="G5" s="72"/>
      <c r="H5" s="55"/>
      <c r="I5" s="54"/>
      <c r="J5" s="55"/>
      <c r="K5" s="62"/>
      <c r="L5" s="55"/>
      <c r="M5" s="62"/>
      <c r="N5" s="55"/>
      <c r="O5" s="62"/>
    </row>
    <row r="6" spans="1:15" ht="15" x14ac:dyDescent="0.3">
      <c r="A6" s="68"/>
      <c r="B6" s="69"/>
      <c r="C6" s="68"/>
      <c r="D6" s="70"/>
      <c r="E6" s="72"/>
      <c r="F6" s="69"/>
      <c r="G6" s="72"/>
      <c r="H6" s="55"/>
      <c r="I6" s="54"/>
      <c r="J6" s="55"/>
      <c r="K6" s="62"/>
      <c r="L6" s="55"/>
      <c r="M6" s="62"/>
      <c r="N6" s="55"/>
      <c r="O6" s="62"/>
    </row>
    <row r="7" spans="1:15" ht="15" x14ac:dyDescent="0.3">
      <c r="A7" s="68"/>
      <c r="B7" s="69"/>
      <c r="C7" s="68"/>
      <c r="D7" s="70"/>
      <c r="E7" s="72"/>
      <c r="F7" s="69"/>
      <c r="G7" s="72"/>
      <c r="H7" s="55"/>
      <c r="I7" s="54"/>
      <c r="J7" s="55"/>
      <c r="K7" s="62"/>
      <c r="L7" s="55"/>
      <c r="M7" s="62"/>
      <c r="N7" s="55"/>
      <c r="O7" s="62"/>
    </row>
    <row r="8" spans="1:15" ht="19.5" customHeight="1" x14ac:dyDescent="0.3">
      <c r="A8" s="495" t="s">
        <v>31</v>
      </c>
      <c r="B8" s="495"/>
      <c r="C8" s="495"/>
      <c r="D8" s="495"/>
      <c r="E8" s="495"/>
      <c r="F8" s="495"/>
      <c r="G8" s="495"/>
      <c r="H8" s="55"/>
      <c r="I8" s="54"/>
      <c r="J8" s="55"/>
      <c r="K8" s="62"/>
      <c r="L8" s="55"/>
      <c r="M8" s="62"/>
      <c r="N8" s="55"/>
      <c r="O8" s="62"/>
    </row>
    <row r="9" spans="1:15" ht="19.5" customHeight="1" x14ac:dyDescent="0.3">
      <c r="A9" s="73"/>
      <c r="B9" s="73"/>
      <c r="C9" s="73"/>
      <c r="D9" s="73"/>
      <c r="E9" s="73"/>
      <c r="F9" s="73"/>
      <c r="G9" s="73"/>
      <c r="H9" s="55"/>
      <c r="I9" s="54"/>
      <c r="J9" s="55"/>
      <c r="K9" s="62"/>
      <c r="L9" s="55"/>
      <c r="M9" s="62"/>
      <c r="N9" s="55"/>
      <c r="O9" s="62"/>
    </row>
    <row r="10" spans="1:15" ht="16.5" customHeight="1" x14ac:dyDescent="0.3">
      <c r="A10" s="496" t="s">
        <v>32</v>
      </c>
      <c r="B10" s="496"/>
      <c r="C10" s="496"/>
      <c r="D10" s="496"/>
      <c r="E10" s="496"/>
      <c r="F10" s="496"/>
      <c r="G10" s="496"/>
      <c r="H10" s="55"/>
      <c r="I10" s="54"/>
      <c r="J10" s="55"/>
      <c r="K10" s="62"/>
      <c r="L10" s="55"/>
      <c r="M10" s="62"/>
      <c r="N10" s="55"/>
      <c r="O10" s="62"/>
    </row>
    <row r="11" spans="1:15" ht="15" customHeight="1" x14ac:dyDescent="0.3">
      <c r="A11" s="490" t="s">
        <v>33</v>
      </c>
      <c r="B11" s="490"/>
      <c r="C11" s="74" t="s">
        <v>5</v>
      </c>
      <c r="E11" s="55"/>
      <c r="F11" s="54"/>
      <c r="G11" s="55"/>
      <c r="H11" s="55"/>
      <c r="I11" s="54"/>
      <c r="J11" s="55"/>
      <c r="K11" s="62"/>
      <c r="L11" s="55"/>
      <c r="M11" s="62"/>
      <c r="N11" s="55"/>
      <c r="O11" s="62"/>
    </row>
    <row r="12" spans="1:15" ht="15" customHeight="1" x14ac:dyDescent="0.3">
      <c r="A12" s="490" t="s">
        <v>34</v>
      </c>
      <c r="B12" s="490"/>
      <c r="C12" s="74" t="s">
        <v>7</v>
      </c>
      <c r="E12" s="55"/>
      <c r="F12" s="54"/>
      <c r="G12" s="55"/>
      <c r="H12" s="55"/>
      <c r="I12" s="54"/>
      <c r="J12" s="55"/>
      <c r="K12" s="62"/>
      <c r="L12" s="55"/>
      <c r="M12" s="62"/>
      <c r="N12" s="55"/>
      <c r="O12" s="62"/>
    </row>
    <row r="13" spans="1:15" ht="15" customHeight="1" x14ac:dyDescent="0.3">
      <c r="A13" s="490" t="s">
        <v>35</v>
      </c>
      <c r="B13" s="490"/>
      <c r="C13" s="74" t="s">
        <v>9</v>
      </c>
      <c r="E13" s="55"/>
      <c r="F13" s="54"/>
      <c r="G13" s="55"/>
      <c r="H13" s="55"/>
      <c r="I13" s="54"/>
      <c r="J13" s="55"/>
      <c r="K13" s="62"/>
      <c r="L13" s="55"/>
      <c r="M13" s="62"/>
      <c r="N13" s="55"/>
      <c r="O13" s="62"/>
    </row>
    <row r="14" spans="1:15" ht="15" customHeight="1" x14ac:dyDescent="0.3">
      <c r="A14" s="490" t="s">
        <v>36</v>
      </c>
      <c r="B14" s="490"/>
      <c r="C14" s="494" t="s">
        <v>11</v>
      </c>
      <c r="D14" s="494"/>
      <c r="E14" s="494"/>
      <c r="F14" s="494"/>
      <c r="G14" s="494"/>
      <c r="H14" s="55"/>
      <c r="I14" s="54"/>
      <c r="J14" s="55"/>
      <c r="K14" s="62"/>
      <c r="L14" s="55"/>
      <c r="M14" s="62"/>
      <c r="N14" s="55"/>
      <c r="O14" s="62"/>
    </row>
    <row r="15" spans="1:15" ht="15" customHeight="1" x14ac:dyDescent="0.3">
      <c r="A15" s="490" t="s">
        <v>37</v>
      </c>
      <c r="B15" s="490"/>
      <c r="C15" s="75" t="s">
        <v>12</v>
      </c>
      <c r="D15" s="74"/>
      <c r="E15" s="55"/>
      <c r="F15" s="54"/>
      <c r="G15" s="55"/>
      <c r="H15" s="55"/>
      <c r="I15" s="54"/>
      <c r="J15" s="55"/>
      <c r="K15" s="62"/>
      <c r="L15" s="55"/>
      <c r="M15" s="62"/>
      <c r="N15" s="55"/>
      <c r="O15" s="62"/>
    </row>
    <row r="16" spans="1:15" ht="15" customHeight="1" x14ac:dyDescent="0.3">
      <c r="A16" s="490" t="s">
        <v>38</v>
      </c>
      <c r="B16" s="490"/>
      <c r="C16" s="75" t="s">
        <v>48</v>
      </c>
      <c r="D16" s="74"/>
      <c r="E16" s="55"/>
      <c r="F16" s="54"/>
      <c r="G16" s="55"/>
      <c r="H16" s="55"/>
      <c r="I16" s="54"/>
      <c r="J16" s="55"/>
      <c r="K16" s="62"/>
      <c r="L16" s="55"/>
      <c r="M16" s="62"/>
      <c r="N16" s="55"/>
      <c r="O16" s="62"/>
    </row>
    <row r="17" spans="1:15" x14ac:dyDescent="0.3">
      <c r="B17" s="74"/>
      <c r="D17" s="74"/>
      <c r="E17" s="55"/>
      <c r="F17" s="54"/>
      <c r="G17" s="55"/>
      <c r="H17" s="55"/>
      <c r="I17" s="54"/>
      <c r="J17" s="55"/>
      <c r="K17" s="62"/>
      <c r="L17" s="55"/>
      <c r="M17" s="62"/>
      <c r="N17" s="55"/>
      <c r="O17" s="62"/>
    </row>
    <row r="18" spans="1:15" ht="15" customHeight="1" x14ac:dyDescent="0.3">
      <c r="A18" s="491" t="s">
        <v>1</v>
      </c>
      <c r="B18" s="491"/>
      <c r="C18" s="76" t="s">
        <v>39</v>
      </c>
      <c r="D18" s="74"/>
      <c r="E18" s="55"/>
      <c r="F18" s="54"/>
      <c r="G18" s="55"/>
      <c r="H18" s="55"/>
      <c r="I18" s="54"/>
      <c r="J18" s="55"/>
      <c r="K18" s="62"/>
      <c r="L18" s="55"/>
      <c r="M18" s="62"/>
      <c r="N18" s="55"/>
      <c r="O18" s="62"/>
    </row>
    <row r="19" spans="1:15" ht="15.75" customHeight="1" x14ac:dyDescent="0.3">
      <c r="A19" s="77"/>
      <c r="B19" s="74"/>
      <c r="D19" s="74"/>
      <c r="E19" s="55"/>
      <c r="F19" s="54"/>
      <c r="G19" s="55"/>
      <c r="H19" s="55"/>
      <c r="I19" s="54"/>
      <c r="J19" s="55"/>
      <c r="K19" s="62"/>
      <c r="L19" s="55"/>
      <c r="M19" s="62"/>
      <c r="N19" s="55"/>
      <c r="O19" s="62"/>
    </row>
    <row r="20" spans="1:15" ht="15.75" customHeight="1" x14ac:dyDescent="0.3">
      <c r="A20" s="78" t="s">
        <v>40</v>
      </c>
      <c r="B20" s="79" t="s">
        <v>41</v>
      </c>
      <c r="C20" s="80" t="s">
        <v>42</v>
      </c>
      <c r="D20" s="78" t="s">
        <v>43</v>
      </c>
      <c r="E20" s="81" t="s">
        <v>44</v>
      </c>
      <c r="G20" s="55"/>
      <c r="H20" s="63"/>
      <c r="I20" s="54"/>
      <c r="J20" s="55"/>
      <c r="K20" s="62"/>
      <c r="L20" s="63"/>
      <c r="M20" s="62"/>
      <c r="N20" s="63"/>
      <c r="O20" s="62"/>
    </row>
    <row r="21" spans="1:15" ht="15" x14ac:dyDescent="0.3">
      <c r="A21" s="82">
        <v>1</v>
      </c>
      <c r="B21" s="83">
        <v>431.48</v>
      </c>
      <c r="C21" s="84">
        <v>76.33</v>
      </c>
      <c r="D21" s="85">
        <f t="shared" ref="D21:D40" si="0">B21-C21</f>
        <v>355.15000000000003</v>
      </c>
      <c r="E21" s="86">
        <f t="shared" ref="E21:E40" si="1">(D21-$D$43)/$D$43</f>
        <v>-4.1387896563905673E-3</v>
      </c>
      <c r="G21" s="55"/>
      <c r="H21" s="63"/>
      <c r="I21" s="54"/>
      <c r="J21" s="55"/>
      <c r="K21" s="62"/>
      <c r="L21" s="63"/>
      <c r="M21" s="62"/>
      <c r="N21" s="63"/>
      <c r="O21" s="62"/>
    </row>
    <row r="22" spans="1:15" ht="15" x14ac:dyDescent="0.3">
      <c r="A22" s="87">
        <v>2</v>
      </c>
      <c r="B22" s="88">
        <v>440.53</v>
      </c>
      <c r="C22" s="89">
        <v>76.959999999999994</v>
      </c>
      <c r="D22" s="90">
        <f t="shared" si="0"/>
        <v>363.57</v>
      </c>
      <c r="E22" s="86">
        <f t="shared" si="1"/>
        <v>1.947137897965941E-2</v>
      </c>
      <c r="G22" s="55"/>
      <c r="H22" s="63"/>
      <c r="I22" s="54"/>
      <c r="J22" s="55"/>
      <c r="K22" s="62"/>
      <c r="L22" s="63"/>
      <c r="M22" s="62"/>
      <c r="N22" s="63"/>
      <c r="O22" s="62"/>
    </row>
    <row r="23" spans="1:15" ht="15" x14ac:dyDescent="0.3">
      <c r="A23" s="87">
        <v>3</v>
      </c>
      <c r="B23" s="88">
        <v>424.03</v>
      </c>
      <c r="C23" s="89">
        <v>73.180000000000007</v>
      </c>
      <c r="D23" s="90">
        <f t="shared" si="0"/>
        <v>350.84999999999997</v>
      </c>
      <c r="E23" s="86">
        <f t="shared" si="1"/>
        <v>-1.6196239197366458E-2</v>
      </c>
      <c r="G23" s="55"/>
      <c r="H23" s="63"/>
      <c r="I23" s="54"/>
      <c r="J23" s="55"/>
      <c r="K23" s="62"/>
      <c r="L23" s="63"/>
      <c r="M23" s="62"/>
      <c r="N23" s="63"/>
      <c r="O23" s="62"/>
    </row>
    <row r="24" spans="1:15" ht="15" x14ac:dyDescent="0.3">
      <c r="A24" s="87">
        <v>4</v>
      </c>
      <c r="B24" s="88">
        <v>428.16</v>
      </c>
      <c r="C24" s="89">
        <v>73.180000000000007</v>
      </c>
      <c r="D24" s="90">
        <f t="shared" si="0"/>
        <v>354.98</v>
      </c>
      <c r="E24" s="86">
        <f t="shared" si="1"/>
        <v>-4.6154795219640696E-3</v>
      </c>
      <c r="G24" s="55"/>
      <c r="H24" s="63"/>
      <c r="I24" s="54"/>
      <c r="J24" s="55"/>
      <c r="K24" s="62"/>
      <c r="L24" s="63"/>
      <c r="M24" s="62"/>
      <c r="N24" s="63"/>
      <c r="O24" s="62"/>
    </row>
    <row r="25" spans="1:15" ht="15" x14ac:dyDescent="0.3">
      <c r="A25" s="87">
        <v>5</v>
      </c>
      <c r="B25" s="88">
        <v>429.78</v>
      </c>
      <c r="C25" s="89">
        <v>77.709999999999994</v>
      </c>
      <c r="D25" s="90">
        <f t="shared" si="0"/>
        <v>352.07</v>
      </c>
      <c r="E25" s="86">
        <f t="shared" si="1"/>
        <v>-1.2775288397368625E-2</v>
      </c>
      <c r="G25" s="55"/>
      <c r="H25" s="63"/>
      <c r="I25" s="54"/>
      <c r="J25" s="55"/>
      <c r="K25" s="62"/>
      <c r="L25" s="63"/>
      <c r="M25" s="62"/>
      <c r="N25" s="63"/>
      <c r="O25" s="62"/>
    </row>
    <row r="26" spans="1:15" ht="15" x14ac:dyDescent="0.3">
      <c r="A26" s="87">
        <v>6</v>
      </c>
      <c r="B26" s="88">
        <v>427.69</v>
      </c>
      <c r="C26" s="89">
        <v>75.89</v>
      </c>
      <c r="D26" s="90">
        <f t="shared" si="0"/>
        <v>351.8</v>
      </c>
      <c r="E26" s="86">
        <f t="shared" si="1"/>
        <v>-1.3532384066220537E-2</v>
      </c>
      <c r="G26" s="55"/>
      <c r="H26" s="63"/>
      <c r="I26" s="54"/>
      <c r="J26" s="55"/>
      <c r="K26" s="62"/>
      <c r="L26" s="63"/>
      <c r="M26" s="62"/>
      <c r="N26" s="63"/>
      <c r="O26" s="62"/>
    </row>
    <row r="27" spans="1:15" ht="15" x14ac:dyDescent="0.3">
      <c r="A27" s="87">
        <v>7</v>
      </c>
      <c r="B27" s="88">
        <v>416.22</v>
      </c>
      <c r="C27" s="89">
        <v>76.319999999999993</v>
      </c>
      <c r="D27" s="90">
        <f t="shared" si="0"/>
        <v>339.90000000000003</v>
      </c>
      <c r="E27" s="86">
        <f t="shared" si="1"/>
        <v>-4.690067465636253E-2</v>
      </c>
      <c r="G27" s="55"/>
      <c r="H27" s="63"/>
      <c r="I27" s="54"/>
      <c r="J27" s="55"/>
      <c r="K27" s="62"/>
      <c r="L27" s="63"/>
      <c r="M27" s="62"/>
      <c r="N27" s="63"/>
      <c r="O27" s="62"/>
    </row>
    <row r="28" spans="1:15" ht="15" x14ac:dyDescent="0.3">
      <c r="A28" s="87">
        <v>8</v>
      </c>
      <c r="B28" s="88">
        <v>443.74</v>
      </c>
      <c r="C28" s="89">
        <v>75.19</v>
      </c>
      <c r="D28" s="90">
        <f t="shared" si="0"/>
        <v>368.55</v>
      </c>
      <c r="E28" s="86">
        <f t="shared" si="1"/>
        <v>3.3435587982928998E-2</v>
      </c>
      <c r="G28" s="55"/>
      <c r="H28" s="63"/>
      <c r="I28" s="54"/>
      <c r="J28" s="55"/>
      <c r="K28" s="62"/>
      <c r="L28" s="63"/>
      <c r="M28" s="62"/>
      <c r="N28" s="63"/>
      <c r="O28" s="62"/>
    </row>
    <row r="29" spans="1:15" ht="15" x14ac:dyDescent="0.3">
      <c r="A29" s="87">
        <v>9</v>
      </c>
      <c r="B29" s="88">
        <v>423.73</v>
      </c>
      <c r="C29" s="89">
        <v>77.66</v>
      </c>
      <c r="D29" s="90">
        <f t="shared" si="0"/>
        <v>346.07000000000005</v>
      </c>
      <c r="E29" s="86">
        <f t="shared" si="1"/>
        <v>-2.9599636594078747E-2</v>
      </c>
      <c r="G29" s="55"/>
      <c r="H29" s="63"/>
      <c r="I29" s="54"/>
      <c r="J29" s="55"/>
      <c r="K29" s="62"/>
      <c r="L29" s="63"/>
      <c r="M29" s="62"/>
      <c r="N29" s="63"/>
      <c r="O29" s="62"/>
    </row>
    <row r="30" spans="1:15" ht="15" x14ac:dyDescent="0.3">
      <c r="A30" s="87">
        <v>10</v>
      </c>
      <c r="B30" s="91">
        <v>445</v>
      </c>
      <c r="C30" s="89">
        <v>76.11</v>
      </c>
      <c r="D30" s="90">
        <f t="shared" si="0"/>
        <v>368.89</v>
      </c>
      <c r="E30" s="86">
        <f t="shared" si="1"/>
        <v>3.438896771407584E-2</v>
      </c>
      <c r="G30" s="55"/>
      <c r="H30" s="63"/>
      <c r="I30" s="54"/>
      <c r="J30" s="55"/>
      <c r="K30" s="62"/>
      <c r="L30" s="63"/>
      <c r="M30" s="62"/>
      <c r="N30" s="63"/>
      <c r="O30" s="62"/>
    </row>
    <row r="31" spans="1:15" ht="15" x14ac:dyDescent="0.3">
      <c r="A31" s="87">
        <v>11</v>
      </c>
      <c r="B31" s="91">
        <v>426.96</v>
      </c>
      <c r="C31" s="89">
        <v>77.900000000000006</v>
      </c>
      <c r="D31" s="90">
        <f t="shared" si="0"/>
        <v>349.05999999999995</v>
      </c>
      <c r="E31" s="86">
        <f t="shared" si="1"/>
        <v>-2.1215503076051748E-2</v>
      </c>
      <c r="G31" s="56"/>
      <c r="H31" s="56"/>
      <c r="I31" s="56"/>
      <c r="J31" s="56"/>
      <c r="K31" s="62"/>
      <c r="L31" s="56"/>
      <c r="M31" s="57"/>
      <c r="N31" s="56"/>
      <c r="O31" s="57"/>
    </row>
    <row r="32" spans="1:15" ht="15" x14ac:dyDescent="0.3">
      <c r="A32" s="87">
        <v>12</v>
      </c>
      <c r="B32" s="91">
        <v>420.72</v>
      </c>
      <c r="C32" s="89">
        <v>73.17</v>
      </c>
      <c r="D32" s="90">
        <f t="shared" si="0"/>
        <v>347.55</v>
      </c>
      <c r="E32" s="86">
        <f t="shared" si="1"/>
        <v>-2.5449630705556985E-2</v>
      </c>
      <c r="G32" s="56"/>
      <c r="H32" s="56"/>
      <c r="I32" s="56"/>
      <c r="J32" s="56"/>
      <c r="K32" s="62"/>
      <c r="L32" s="56"/>
      <c r="M32" s="56"/>
      <c r="N32" s="56"/>
      <c r="O32" s="56"/>
    </row>
    <row r="33" spans="1:15" ht="15" x14ac:dyDescent="0.3">
      <c r="A33" s="87">
        <v>13</v>
      </c>
      <c r="B33" s="91">
        <v>435.1</v>
      </c>
      <c r="C33" s="89">
        <v>77.53</v>
      </c>
      <c r="D33" s="90">
        <f t="shared" si="0"/>
        <v>357.57000000000005</v>
      </c>
      <c r="E33" s="86">
        <f t="shared" si="1"/>
        <v>2.6470307829492908E-3</v>
      </c>
      <c r="G33" s="58"/>
      <c r="H33" s="58"/>
      <c r="I33" s="58"/>
      <c r="J33" s="58"/>
      <c r="K33" s="64"/>
      <c r="L33" s="58"/>
      <c r="M33" s="58"/>
      <c r="N33" s="59"/>
      <c r="O33" s="58"/>
    </row>
    <row r="34" spans="1:15" ht="15" x14ac:dyDescent="0.3">
      <c r="A34" s="87">
        <v>14</v>
      </c>
      <c r="B34" s="91">
        <v>435.24</v>
      </c>
      <c r="C34" s="89">
        <v>74.75</v>
      </c>
      <c r="D34" s="90">
        <f t="shared" si="0"/>
        <v>360.49</v>
      </c>
      <c r="E34" s="86">
        <f t="shared" si="1"/>
        <v>1.0834880238681512E-2</v>
      </c>
      <c r="G34" s="60"/>
      <c r="H34" s="65"/>
      <c r="I34" s="65"/>
      <c r="J34" s="60"/>
      <c r="K34" s="66"/>
      <c r="L34" s="61"/>
      <c r="M34" s="65"/>
      <c r="N34" s="61"/>
      <c r="O34" s="65"/>
    </row>
    <row r="35" spans="1:15" ht="15" x14ac:dyDescent="0.3">
      <c r="A35" s="87">
        <v>15</v>
      </c>
      <c r="B35" s="91">
        <v>444.39</v>
      </c>
      <c r="C35" s="89">
        <v>75.209999999999994</v>
      </c>
      <c r="D35" s="90">
        <f t="shared" si="0"/>
        <v>369.18</v>
      </c>
      <c r="E35" s="86">
        <f t="shared" si="1"/>
        <v>3.5202144543583565E-2</v>
      </c>
      <c r="G35" s="60"/>
      <c r="J35" s="60"/>
      <c r="K35" s="66"/>
      <c r="L35" s="61"/>
      <c r="N35" s="61"/>
    </row>
    <row r="36" spans="1:15" ht="15" x14ac:dyDescent="0.3">
      <c r="A36" s="87">
        <v>16</v>
      </c>
      <c r="B36" s="91">
        <v>438.62</v>
      </c>
      <c r="C36" s="89">
        <v>75.22</v>
      </c>
      <c r="D36" s="90">
        <f t="shared" si="0"/>
        <v>363.4</v>
      </c>
      <c r="E36" s="86">
        <f t="shared" si="1"/>
        <v>1.8994689114085909E-2</v>
      </c>
      <c r="G36" s="67"/>
      <c r="H36" s="67"/>
    </row>
    <row r="37" spans="1:15" ht="15" x14ac:dyDescent="0.3">
      <c r="A37" s="87">
        <v>17</v>
      </c>
      <c r="B37" s="91">
        <v>413.1</v>
      </c>
      <c r="C37" s="89">
        <v>75.62</v>
      </c>
      <c r="D37" s="90">
        <f t="shared" si="0"/>
        <v>337.48</v>
      </c>
      <c r="E37" s="86">
        <f t="shared" si="1"/>
        <v>-5.3686495095702384E-2</v>
      </c>
    </row>
    <row r="38" spans="1:15" ht="15" x14ac:dyDescent="0.3">
      <c r="A38" s="87">
        <v>18</v>
      </c>
      <c r="B38" s="91">
        <v>442.76</v>
      </c>
      <c r="C38" s="89">
        <v>78.72</v>
      </c>
      <c r="D38" s="90">
        <f t="shared" si="0"/>
        <v>364.03999999999996</v>
      </c>
      <c r="E38" s="86">
        <f t="shared" si="1"/>
        <v>2.07892862550683E-2</v>
      </c>
    </row>
    <row r="39" spans="1:15" ht="15" x14ac:dyDescent="0.3">
      <c r="A39" s="87">
        <v>19</v>
      </c>
      <c r="B39" s="91">
        <v>445.54</v>
      </c>
      <c r="C39" s="89">
        <v>76.680000000000007</v>
      </c>
      <c r="D39" s="90">
        <f t="shared" si="0"/>
        <v>368.86</v>
      </c>
      <c r="E39" s="86">
        <f t="shared" si="1"/>
        <v>3.4304845973092364E-2</v>
      </c>
    </row>
    <row r="40" spans="1:15" ht="14.25" customHeight="1" x14ac:dyDescent="0.3">
      <c r="A40" s="92">
        <v>20</v>
      </c>
      <c r="B40" s="93">
        <v>440.11</v>
      </c>
      <c r="C40" s="94">
        <v>77.05</v>
      </c>
      <c r="D40" s="95">
        <f t="shared" si="0"/>
        <v>363.06</v>
      </c>
      <c r="E40" s="96">
        <f t="shared" si="1"/>
        <v>1.8041309382939064E-2</v>
      </c>
    </row>
    <row r="41" spans="1:15" ht="14.25" customHeight="1" x14ac:dyDescent="0.3">
      <c r="B41" s="74"/>
      <c r="D41" s="62"/>
      <c r="G41" s="55"/>
    </row>
    <row r="42" spans="1:15" x14ac:dyDescent="0.3">
      <c r="A42" s="97" t="s">
        <v>45</v>
      </c>
      <c r="B42" s="98">
        <f>SUM(B21:B40)</f>
        <v>8652.9000000000033</v>
      </c>
      <c r="C42" s="99">
        <f>SUM(C21:C40)</f>
        <v>1520.3799999999999</v>
      </c>
      <c r="D42" s="100">
        <f>SUM(D21:D40)</f>
        <v>7132.5199999999995</v>
      </c>
    </row>
    <row r="43" spans="1:15" ht="15.75" customHeight="1" x14ac:dyDescent="0.3">
      <c r="A43" s="101" t="s">
        <v>46</v>
      </c>
      <c r="B43" s="102">
        <f>AVERAGE(B21:B40)</f>
        <v>432.64500000000015</v>
      </c>
      <c r="C43" s="103">
        <f>AVERAGE(C21:C40)</f>
        <v>76.018999999999991</v>
      </c>
      <c r="D43" s="104">
        <f>AVERAGE(D21:D40)</f>
        <v>356.62599999999998</v>
      </c>
    </row>
    <row r="44" spans="1:15" x14ac:dyDescent="0.3">
      <c r="A44" s="68"/>
      <c r="B44" s="105"/>
      <c r="C44" s="105"/>
      <c r="D44" s="74"/>
    </row>
    <row r="45" spans="1:15" ht="14.25" customHeight="1" x14ac:dyDescent="0.3">
      <c r="A45" s="68"/>
      <c r="B45" s="68"/>
      <c r="C45" s="68"/>
      <c r="D45" s="74"/>
    </row>
    <row r="46" spans="1:15" ht="30.75" customHeight="1" x14ac:dyDescent="0.3">
      <c r="B46" s="106" t="s">
        <v>46</v>
      </c>
      <c r="C46" s="107" t="s">
        <v>47</v>
      </c>
    </row>
    <row r="47" spans="1:15" ht="15.75" customHeight="1" x14ac:dyDescent="0.3">
      <c r="B47" s="492">
        <f>D43</f>
        <v>356.62599999999998</v>
      </c>
      <c r="C47" s="108">
        <f>-(IF(D43&gt;300, 7.5%, 10%))</f>
        <v>-7.4999999999999997E-2</v>
      </c>
      <c r="D47" s="109">
        <f>IF(D43&lt;300, D43*0.9, D43*0.925)</f>
        <v>329.87905000000001</v>
      </c>
    </row>
    <row r="48" spans="1:15" ht="15.75" customHeight="1" x14ac:dyDescent="0.3">
      <c r="B48" s="493"/>
      <c r="C48" s="110">
        <f>+(IF(D43&gt;300, 7.5%, 10%))</f>
        <v>7.4999999999999997E-2</v>
      </c>
      <c r="D48" s="109">
        <f>IF(D43&lt;300, D43*1.1, D43*1.075)</f>
        <v>383.37294999999995</v>
      </c>
    </row>
    <row r="49" spans="1:7" ht="14.25" customHeight="1" x14ac:dyDescent="0.3">
      <c r="A49" s="111"/>
      <c r="D49" s="112"/>
    </row>
    <row r="50" spans="1:7" ht="15" customHeight="1" x14ac:dyDescent="0.3">
      <c r="B50" s="489" t="s">
        <v>26</v>
      </c>
      <c r="C50" s="489"/>
      <c r="D50" s="74"/>
      <c r="E50" s="113" t="s">
        <v>27</v>
      </c>
      <c r="F50" s="114"/>
      <c r="G50" s="113" t="s">
        <v>28</v>
      </c>
    </row>
    <row r="51" spans="1:7" ht="15" customHeight="1" x14ac:dyDescent="0.3">
      <c r="A51" s="115" t="s">
        <v>29</v>
      </c>
      <c r="B51" s="116"/>
      <c r="C51" s="116"/>
      <c r="D51" s="74"/>
      <c r="E51" s="116"/>
      <c r="F51" s="68"/>
      <c r="G51" s="117"/>
    </row>
    <row r="52" spans="1:7" ht="15" customHeight="1" x14ac:dyDescent="0.3">
      <c r="A52" s="115" t="s">
        <v>30</v>
      </c>
      <c r="B52" s="118"/>
      <c r="C52" s="118"/>
      <c r="D52" s="74"/>
      <c r="E52" s="118"/>
      <c r="F52" s="68"/>
      <c r="G52" s="119"/>
    </row>
  </sheetData>
  <sheetProtection formatCells="0" formatColumns="0" formatRows="0" insertColumns="0" insertRows="0" insertHyperlinks="0" deleteColumns="0" deleteRows="0" sort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8" priority="1" operator="notBetween">
      <formula>IF(+$D$43&lt;300, -10.5%, -7.5%)</formula>
      <formula>IF(+$D$43&lt;300, 10.5%, 7.5%)</formula>
    </cfRule>
  </conditionalFormatting>
  <conditionalFormatting sqref="E22">
    <cfRule type="cellIs" dxfId="27" priority="2" operator="notBetween">
      <formula>IF(+$D$43&lt;300, -10.5%, -7.5%)</formula>
      <formula>IF(+$D$43&lt;300, 10.5%, 7.5%)</formula>
    </cfRule>
  </conditionalFormatting>
  <conditionalFormatting sqref="E23">
    <cfRule type="cellIs" dxfId="26" priority="3" operator="notBetween">
      <formula>IF(+$D$43&lt;300, -10.5%, -7.5%)</formula>
      <formula>IF(+$D$43&lt;300, 10.5%, 7.5%)</formula>
    </cfRule>
  </conditionalFormatting>
  <conditionalFormatting sqref="E24">
    <cfRule type="cellIs" dxfId="25" priority="4" operator="notBetween">
      <formula>IF(+$D$43&lt;300, -10.5%, -7.5%)</formula>
      <formula>IF(+$D$43&lt;300, 10.5%, 7.5%)</formula>
    </cfRule>
  </conditionalFormatting>
  <conditionalFormatting sqref="E25">
    <cfRule type="cellIs" dxfId="24" priority="5" operator="notBetween">
      <formula>IF(+$D$43&lt;300, -10.5%, -7.5%)</formula>
      <formula>IF(+$D$43&lt;300, 10.5%, 7.5%)</formula>
    </cfRule>
  </conditionalFormatting>
  <conditionalFormatting sqref="E26">
    <cfRule type="cellIs" dxfId="23" priority="6" operator="notBetween">
      <formula>IF(+$D$43&lt;300, -10.5%, -7.5%)</formula>
      <formula>IF(+$D$43&lt;300, 10.5%, 7.5%)</formula>
    </cfRule>
  </conditionalFormatting>
  <conditionalFormatting sqref="E27">
    <cfRule type="cellIs" dxfId="22" priority="7" operator="notBetween">
      <formula>IF(+$D$43&lt;300, -10.5%, -7.5%)</formula>
      <formula>IF(+$D$43&lt;300, 10.5%, 7.5%)</formula>
    </cfRule>
  </conditionalFormatting>
  <conditionalFormatting sqref="E28">
    <cfRule type="cellIs" dxfId="21" priority="8" operator="notBetween">
      <formula>IF(+$D$43&lt;300, -10.5%, -7.5%)</formula>
      <formula>IF(+$D$43&lt;300, 10.5%, 7.5%)</formula>
    </cfRule>
  </conditionalFormatting>
  <conditionalFormatting sqref="E29">
    <cfRule type="cellIs" dxfId="20" priority="9" operator="notBetween">
      <formula>IF(+$D$43&lt;300, -10.5%, -7.5%)</formula>
      <formula>IF(+$D$43&lt;300, 10.5%, 7.5%)</formula>
    </cfRule>
  </conditionalFormatting>
  <conditionalFormatting sqref="E30">
    <cfRule type="cellIs" dxfId="19" priority="10" operator="notBetween">
      <formula>IF(+$D$43&lt;300, -10.5%, -7.5%)</formula>
      <formula>IF(+$D$43&lt;300, 10.5%, 7.5%)</formula>
    </cfRule>
  </conditionalFormatting>
  <conditionalFormatting sqref="E31">
    <cfRule type="cellIs" dxfId="18" priority="11" operator="notBetween">
      <formula>IF(+$D$43&lt;300, -10.5%, -7.5%)</formula>
      <formula>IF(+$D$43&lt;300, 10.5%, 7.5%)</formula>
    </cfRule>
  </conditionalFormatting>
  <conditionalFormatting sqref="E32">
    <cfRule type="cellIs" dxfId="17" priority="12" operator="notBetween">
      <formula>IF(+$D$43&lt;300, -10.5%, -7.5%)</formula>
      <formula>IF(+$D$43&lt;300, 10.5%, 7.5%)</formula>
    </cfRule>
  </conditionalFormatting>
  <conditionalFormatting sqref="E33">
    <cfRule type="cellIs" dxfId="16" priority="13" operator="notBetween">
      <formula>IF(+$D$43&lt;300, -10.5%, -7.5%)</formula>
      <formula>IF(+$D$43&lt;300, 10.5%, 7.5%)</formula>
    </cfRule>
  </conditionalFormatting>
  <conditionalFormatting sqref="E34">
    <cfRule type="cellIs" dxfId="15" priority="14" operator="notBetween">
      <formula>IF(+$D$43&lt;300, -10.5%, -7.5%)</formula>
      <formula>IF(+$D$43&lt;300, 10.5%, 7.5%)</formula>
    </cfRule>
  </conditionalFormatting>
  <conditionalFormatting sqref="E35">
    <cfRule type="cellIs" dxfId="14" priority="15" operator="notBetween">
      <formula>IF(+$D$43&lt;300, -10.5%, -7.5%)</formula>
      <formula>IF(+$D$43&lt;300, 10.5%, 7.5%)</formula>
    </cfRule>
  </conditionalFormatting>
  <conditionalFormatting sqref="E36">
    <cfRule type="cellIs" dxfId="13" priority="16" operator="notBetween">
      <formula>IF(+$D$43&lt;300, -10.5%, -7.5%)</formula>
      <formula>IF(+$D$43&lt;300, 10.5%, 7.5%)</formula>
    </cfRule>
  </conditionalFormatting>
  <conditionalFormatting sqref="E37">
    <cfRule type="cellIs" dxfId="12" priority="17" operator="notBetween">
      <formula>IF(+$D$43&lt;300, -10.5%, -7.5%)</formula>
      <formula>IF(+$D$43&lt;300, 10.5%, 7.5%)</formula>
    </cfRule>
  </conditionalFormatting>
  <conditionalFormatting sqref="E38">
    <cfRule type="cellIs" dxfId="11" priority="18" operator="notBetween">
      <formula>IF(+$D$43&lt;300, -10.5%, -7.5%)</formula>
      <formula>IF(+$D$43&lt;300, 10.5%, 7.5%)</formula>
    </cfRule>
  </conditionalFormatting>
  <conditionalFormatting sqref="E39">
    <cfRule type="cellIs" dxfId="10" priority="19" operator="notBetween">
      <formula>IF(+$D$43&lt;300, -10.5%, -7.5%)</formula>
      <formula>IF(+$D$43&lt;300, 10.5%, 7.5%)</formula>
    </cfRule>
  </conditionalFormatting>
  <conditionalFormatting sqref="E40">
    <cfRule type="cellIs" dxfId="9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45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7" workbookViewId="0">
      <selection activeCell="A15" sqref="A15:G62"/>
    </sheetView>
  </sheetViews>
  <sheetFormatPr defaultRowHeight="13.5" x14ac:dyDescent="0.25"/>
  <cols>
    <col min="1" max="1" width="27.5703125" style="123" customWidth="1"/>
    <col min="2" max="2" width="20.42578125" style="123" customWidth="1"/>
    <col min="3" max="3" width="31.85546875" style="123" customWidth="1"/>
    <col min="4" max="4" width="25.85546875" style="123" customWidth="1"/>
    <col min="5" max="5" width="25.7109375" style="123" customWidth="1"/>
    <col min="6" max="6" width="23.140625" style="123" customWidth="1"/>
    <col min="7" max="7" width="28.42578125" style="123" customWidth="1"/>
    <col min="8" max="8" width="21.5703125" style="123" customWidth="1"/>
    <col min="9" max="9" width="9.140625" style="123" customWidth="1"/>
    <col min="10" max="16384" width="9.140625" style="44"/>
  </cols>
  <sheetData>
    <row r="14" spans="1:6" ht="15" customHeight="1" x14ac:dyDescent="0.3">
      <c r="A14" s="77"/>
      <c r="C14" s="534" t="s">
        <v>125</v>
      </c>
      <c r="F14" s="3"/>
    </row>
    <row r="15" spans="1:6" ht="18.75" customHeight="1" x14ac:dyDescent="0.3">
      <c r="A15" s="488" t="s">
        <v>0</v>
      </c>
      <c r="B15" s="488"/>
      <c r="C15" s="488"/>
      <c r="D15" s="488"/>
      <c r="E15" s="488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C17" s="36"/>
      <c r="D17" s="9"/>
      <c r="E17" s="36"/>
    </row>
    <row r="18" spans="1:5" ht="16.5" customHeight="1" x14ac:dyDescent="0.3">
      <c r="A18" s="11" t="s">
        <v>4</v>
      </c>
      <c r="B18" s="8" t="s">
        <v>125</v>
      </c>
      <c r="C18" s="36"/>
      <c r="D18" s="36"/>
      <c r="E18" s="36"/>
    </row>
    <row r="19" spans="1:5" ht="16.5" customHeight="1" x14ac:dyDescent="0.3">
      <c r="A19" s="11" t="s">
        <v>6</v>
      </c>
      <c r="B19" s="12">
        <v>92.5</v>
      </c>
      <c r="C19" s="36"/>
      <c r="D19" s="36"/>
      <c r="E19" s="36"/>
    </row>
    <row r="20" spans="1:5" ht="16.5" customHeight="1" x14ac:dyDescent="0.3">
      <c r="A20" s="8" t="s">
        <v>8</v>
      </c>
      <c r="B20" s="12">
        <v>19.88</v>
      </c>
      <c r="C20" s="36"/>
      <c r="D20" s="36"/>
      <c r="E20" s="36"/>
    </row>
    <row r="21" spans="1:5" ht="16.5" customHeight="1" x14ac:dyDescent="0.3">
      <c r="A21" s="8" t="s">
        <v>10</v>
      </c>
      <c r="B21" s="13">
        <v>0.05</v>
      </c>
      <c r="C21" s="36"/>
      <c r="D21" s="36"/>
      <c r="E21" s="36"/>
    </row>
    <row r="22" spans="1:5" ht="15.75" customHeight="1" x14ac:dyDescent="0.25">
      <c r="A22" s="36"/>
      <c r="B22" s="36"/>
      <c r="C22" s="36"/>
      <c r="D22" s="36"/>
      <c r="E22" s="36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15290487</v>
      </c>
      <c r="C24" s="18">
        <v>12331.1</v>
      </c>
      <c r="D24" s="19">
        <v>1</v>
      </c>
      <c r="E24" s="20">
        <v>10.5</v>
      </c>
    </row>
    <row r="25" spans="1:5" ht="16.5" customHeight="1" x14ac:dyDescent="0.3">
      <c r="A25" s="17">
        <v>2</v>
      </c>
      <c r="B25" s="18">
        <v>15317042</v>
      </c>
      <c r="C25" s="18">
        <v>12270.1</v>
      </c>
      <c r="D25" s="19">
        <v>1</v>
      </c>
      <c r="E25" s="19">
        <v>10.5</v>
      </c>
    </row>
    <row r="26" spans="1:5" ht="16.5" customHeight="1" x14ac:dyDescent="0.3">
      <c r="A26" s="17">
        <v>3</v>
      </c>
      <c r="B26" s="18">
        <v>15258673</v>
      </c>
      <c r="C26" s="18">
        <v>12266</v>
      </c>
      <c r="D26" s="19">
        <v>1</v>
      </c>
      <c r="E26" s="19">
        <v>10.5</v>
      </c>
    </row>
    <row r="27" spans="1:5" ht="16.5" customHeight="1" x14ac:dyDescent="0.3">
      <c r="A27" s="17">
        <v>4</v>
      </c>
      <c r="B27" s="18">
        <v>15204620</v>
      </c>
      <c r="C27" s="18">
        <v>12268.5</v>
      </c>
      <c r="D27" s="19">
        <v>1</v>
      </c>
      <c r="E27" s="19">
        <v>10.5</v>
      </c>
    </row>
    <row r="28" spans="1:5" ht="16.5" customHeight="1" x14ac:dyDescent="0.3">
      <c r="A28" s="17">
        <v>5</v>
      </c>
      <c r="B28" s="18">
        <v>15151279</v>
      </c>
      <c r="C28" s="18">
        <v>12279.9</v>
      </c>
      <c r="D28" s="19">
        <v>1</v>
      </c>
      <c r="E28" s="19">
        <v>10.5</v>
      </c>
    </row>
    <row r="29" spans="1:5" ht="16.5" customHeight="1" x14ac:dyDescent="0.3">
      <c r="A29" s="17">
        <v>6</v>
      </c>
      <c r="B29" s="21">
        <v>15119730</v>
      </c>
      <c r="C29" s="21">
        <v>12297.1</v>
      </c>
      <c r="D29" s="22">
        <v>1</v>
      </c>
      <c r="E29" s="22">
        <v>10.5</v>
      </c>
    </row>
    <row r="30" spans="1:5" ht="16.5" customHeight="1" x14ac:dyDescent="0.3">
      <c r="A30" s="23" t="s">
        <v>18</v>
      </c>
      <c r="B30" s="24">
        <f>AVERAGE(B24:B29)</f>
        <v>15223638.5</v>
      </c>
      <c r="C30" s="25">
        <f>AVERAGE(C24:C29)</f>
        <v>12285.449999999999</v>
      </c>
      <c r="D30" s="26">
        <f>AVERAGE(D24:D29)</f>
        <v>1</v>
      </c>
      <c r="E30" s="26">
        <f>AVERAGE(E24:E29)</f>
        <v>10.5</v>
      </c>
    </row>
    <row r="31" spans="1:5" ht="16.5" customHeight="1" x14ac:dyDescent="0.3">
      <c r="A31" s="27" t="s">
        <v>19</v>
      </c>
      <c r="B31" s="28">
        <f>(STDEV(B24:B29)/B30)</f>
        <v>5.1567623843032989E-3</v>
      </c>
      <c r="C31" s="29"/>
      <c r="D31" s="29"/>
      <c r="E31" s="30"/>
    </row>
    <row r="32" spans="1:5" s="123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5" s="123" customFormat="1" ht="15.75" customHeight="1" x14ac:dyDescent="0.25">
      <c r="A33" s="36"/>
      <c r="B33" s="36"/>
      <c r="C33" s="36"/>
      <c r="D33" s="36"/>
      <c r="E33" s="36"/>
    </row>
    <row r="34" spans="1:5" s="123" customFormat="1" ht="16.5" customHeight="1" x14ac:dyDescent="0.3">
      <c r="A34" s="11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11"/>
      <c r="B35" s="40" t="s">
        <v>23</v>
      </c>
      <c r="C35" s="39"/>
      <c r="D35" s="39"/>
      <c r="E35" s="39"/>
    </row>
    <row r="36" spans="1:5" ht="16.5" customHeight="1" x14ac:dyDescent="0.3">
      <c r="A36" s="11"/>
      <c r="B36" s="40" t="s">
        <v>24</v>
      </c>
      <c r="C36" s="39"/>
      <c r="D36" s="39"/>
      <c r="E36" s="39"/>
    </row>
    <row r="37" spans="1:5" ht="15.75" customHeight="1" x14ac:dyDescent="0.25">
      <c r="A37" s="36"/>
      <c r="B37" s="36"/>
      <c r="C37" s="36"/>
      <c r="D37" s="36"/>
      <c r="E37" s="36"/>
    </row>
    <row r="38" spans="1:5" ht="16.5" customHeight="1" x14ac:dyDescent="0.3">
      <c r="A38" s="5" t="s">
        <v>1</v>
      </c>
      <c r="B38" s="6" t="s">
        <v>25</v>
      </c>
    </row>
    <row r="39" spans="1:5" ht="16.5" customHeight="1" x14ac:dyDescent="0.3">
      <c r="A39" s="11" t="s">
        <v>4</v>
      </c>
      <c r="B39" s="8" t="s">
        <v>125</v>
      </c>
      <c r="C39" s="36"/>
      <c r="D39" s="36"/>
      <c r="E39" s="36"/>
    </row>
    <row r="40" spans="1:5" ht="16.5" customHeight="1" x14ac:dyDescent="0.3">
      <c r="A40" s="11" t="s">
        <v>6</v>
      </c>
      <c r="B40" s="12">
        <v>92.5</v>
      </c>
      <c r="C40" s="36"/>
      <c r="D40" s="36"/>
      <c r="E40" s="36"/>
    </row>
    <row r="41" spans="1:5" ht="16.5" customHeight="1" x14ac:dyDescent="0.3">
      <c r="A41" s="8" t="s">
        <v>8</v>
      </c>
      <c r="B41" s="12">
        <v>24.27</v>
      </c>
      <c r="C41" s="36"/>
      <c r="D41" s="36"/>
      <c r="E41" s="36"/>
    </row>
    <row r="42" spans="1:5" ht="16.5" customHeight="1" x14ac:dyDescent="0.3">
      <c r="A42" s="8" t="s">
        <v>10</v>
      </c>
      <c r="B42" s="13">
        <v>0.02</v>
      </c>
      <c r="C42" s="36"/>
      <c r="D42" s="36"/>
      <c r="E42" s="36"/>
    </row>
    <row r="43" spans="1:5" ht="15.75" customHeight="1" x14ac:dyDescent="0.3">
      <c r="A43" s="36"/>
      <c r="B43" s="13"/>
      <c r="C43" s="36"/>
      <c r="D43" s="36"/>
      <c r="E43" s="36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15256149</v>
      </c>
      <c r="C45" s="18">
        <v>10272.700000000001</v>
      </c>
      <c r="D45" s="19">
        <v>1.1000000000000001</v>
      </c>
      <c r="E45" s="20">
        <v>4</v>
      </c>
    </row>
    <row r="46" spans="1:5" ht="16.5" customHeight="1" x14ac:dyDescent="0.3">
      <c r="A46" s="17">
        <v>2</v>
      </c>
      <c r="B46" s="18">
        <v>15298943</v>
      </c>
      <c r="C46" s="18">
        <v>10424.700000000001</v>
      </c>
      <c r="D46" s="19">
        <v>1.1000000000000001</v>
      </c>
      <c r="E46" s="19">
        <v>4</v>
      </c>
    </row>
    <row r="47" spans="1:5" ht="16.5" customHeight="1" x14ac:dyDescent="0.3">
      <c r="A47" s="17">
        <v>3</v>
      </c>
      <c r="B47" s="18">
        <v>15253603</v>
      </c>
      <c r="C47" s="18">
        <v>10414.4</v>
      </c>
      <c r="D47" s="19">
        <v>1.1000000000000001</v>
      </c>
      <c r="E47" s="19">
        <v>4</v>
      </c>
    </row>
    <row r="48" spans="1:5" ht="16.5" customHeight="1" x14ac:dyDescent="0.3">
      <c r="A48" s="17">
        <v>4</v>
      </c>
      <c r="B48" s="18">
        <v>15233375</v>
      </c>
      <c r="C48" s="18">
        <v>10350.4</v>
      </c>
      <c r="D48" s="19">
        <v>1.1000000000000001</v>
      </c>
      <c r="E48" s="19">
        <v>4</v>
      </c>
    </row>
    <row r="49" spans="1:7" ht="16.5" customHeight="1" x14ac:dyDescent="0.3">
      <c r="A49" s="17">
        <v>5</v>
      </c>
      <c r="B49" s="18">
        <v>15221943</v>
      </c>
      <c r="C49" s="18">
        <v>10274.700000000001</v>
      </c>
      <c r="D49" s="19">
        <v>1.1000000000000001</v>
      </c>
      <c r="E49" s="19">
        <v>4</v>
      </c>
    </row>
    <row r="50" spans="1:7" ht="16.5" customHeight="1" x14ac:dyDescent="0.3">
      <c r="A50" s="17">
        <v>6</v>
      </c>
      <c r="B50" s="21">
        <v>15217751</v>
      </c>
      <c r="C50" s="21">
        <v>10407.200000000001</v>
      </c>
      <c r="D50" s="22">
        <v>1.1000000000000001</v>
      </c>
      <c r="E50" s="22">
        <v>4</v>
      </c>
    </row>
    <row r="51" spans="1:7" ht="16.5" customHeight="1" x14ac:dyDescent="0.3">
      <c r="A51" s="23" t="s">
        <v>18</v>
      </c>
      <c r="B51" s="24">
        <f>AVERAGE(B45:B50)</f>
        <v>15246960.666666666</v>
      </c>
      <c r="C51" s="25">
        <f>AVERAGE(C45:C50)</f>
        <v>10357.35</v>
      </c>
      <c r="D51" s="26">
        <f>AVERAGE(D45:D50)</f>
        <v>1.0999999999999999</v>
      </c>
      <c r="E51" s="26">
        <f>AVERAGE(E45:E50)</f>
        <v>4</v>
      </c>
    </row>
    <row r="52" spans="1:7" ht="16.5" customHeight="1" x14ac:dyDescent="0.3">
      <c r="A52" s="27" t="s">
        <v>19</v>
      </c>
      <c r="B52" s="28">
        <f>(STDEV(B45:B50)/B51)</f>
        <v>1.9663735141401753E-3</v>
      </c>
      <c r="C52" s="29"/>
      <c r="D52" s="29"/>
      <c r="E52" s="30"/>
    </row>
    <row r="53" spans="1:7" s="123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123" customFormat="1" ht="15.75" customHeight="1" x14ac:dyDescent="0.25">
      <c r="A54" s="36"/>
      <c r="B54" s="36"/>
      <c r="C54" s="36"/>
      <c r="D54" s="36"/>
      <c r="E54" s="36"/>
    </row>
    <row r="55" spans="1:7" s="123" customFormat="1" ht="16.5" customHeight="1" x14ac:dyDescent="0.3">
      <c r="A55" s="11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11"/>
      <c r="B56" s="40" t="s">
        <v>23</v>
      </c>
      <c r="C56" s="39"/>
      <c r="D56" s="39"/>
      <c r="E56" s="39"/>
    </row>
    <row r="57" spans="1:7" ht="16.5" customHeight="1" x14ac:dyDescent="0.3">
      <c r="A57" s="11"/>
      <c r="B57" s="40" t="s">
        <v>24</v>
      </c>
      <c r="C57" s="39"/>
      <c r="D57" s="39"/>
      <c r="E57" s="39"/>
    </row>
    <row r="58" spans="1:7" ht="14.25" customHeight="1" thickBot="1" x14ac:dyDescent="0.3">
      <c r="A58" s="111"/>
      <c r="B58" s="122"/>
      <c r="D58" s="43"/>
      <c r="F58" s="44"/>
      <c r="G58" s="44"/>
    </row>
    <row r="59" spans="1:7" ht="15" customHeight="1" x14ac:dyDescent="0.3">
      <c r="B59" s="489" t="s">
        <v>26</v>
      </c>
      <c r="C59" s="489"/>
      <c r="E59" s="121" t="s">
        <v>27</v>
      </c>
      <c r="F59" s="114"/>
      <c r="G59" s="121" t="s">
        <v>28</v>
      </c>
    </row>
    <row r="60" spans="1:7" ht="15" customHeight="1" x14ac:dyDescent="0.3">
      <c r="A60" s="120" t="s">
        <v>29</v>
      </c>
      <c r="B60" s="117"/>
      <c r="C60" s="117"/>
      <c r="E60" s="117"/>
      <c r="G60" s="117"/>
    </row>
    <row r="61" spans="1:7" ht="15" customHeight="1" x14ac:dyDescent="0.3">
      <c r="A61" s="120" t="s">
        <v>30</v>
      </c>
      <c r="B61" s="118"/>
      <c r="C61" s="118"/>
      <c r="E61" s="118"/>
      <c r="G61" s="11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3:I61"/>
  <sheetViews>
    <sheetView topLeftCell="A45" workbookViewId="0">
      <selection activeCell="A13" sqref="A13:F63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3" spans="1:6" ht="15" x14ac:dyDescent="0.3">
      <c r="C13" s="535" t="s">
        <v>122</v>
      </c>
    </row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88" t="s">
        <v>0</v>
      </c>
      <c r="B15" s="488"/>
      <c r="C15" s="488"/>
      <c r="D15" s="488"/>
      <c r="E15" s="48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C17" s="36"/>
      <c r="D17" s="9"/>
      <c r="E17" s="10"/>
    </row>
    <row r="18" spans="1:6" ht="16.5" customHeight="1" x14ac:dyDescent="0.3">
      <c r="A18" s="11" t="s">
        <v>4</v>
      </c>
      <c r="B18" s="8" t="s">
        <v>122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99.34</v>
      </c>
      <c r="C19" s="10"/>
      <c r="D19" s="10"/>
      <c r="E19" s="10"/>
    </row>
    <row r="20" spans="1:6" ht="16.5" customHeight="1" x14ac:dyDescent="0.3">
      <c r="A20" s="7" t="s">
        <v>8</v>
      </c>
      <c r="B20" s="12">
        <v>35.54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0.15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47736787</v>
      </c>
      <c r="C24" s="18">
        <v>10427.6</v>
      </c>
      <c r="D24" s="19">
        <v>1.1000000000000001</v>
      </c>
      <c r="E24" s="20">
        <v>4.5999999999999996</v>
      </c>
    </row>
    <row r="25" spans="1:6" ht="16.5" customHeight="1" x14ac:dyDescent="0.3">
      <c r="A25" s="17">
        <v>2</v>
      </c>
      <c r="B25" s="18">
        <v>47818722</v>
      </c>
      <c r="C25" s="18">
        <v>10505.7</v>
      </c>
      <c r="D25" s="19">
        <v>1.1000000000000001</v>
      </c>
      <c r="E25" s="19">
        <v>4.5999999999999996</v>
      </c>
    </row>
    <row r="26" spans="1:6" ht="16.5" customHeight="1" x14ac:dyDescent="0.3">
      <c r="A26" s="17">
        <v>3</v>
      </c>
      <c r="B26" s="18">
        <v>47916911</v>
      </c>
      <c r="C26" s="18">
        <v>10443.299999999999</v>
      </c>
      <c r="D26" s="19">
        <v>1</v>
      </c>
      <c r="E26" s="19">
        <v>4.5999999999999996</v>
      </c>
    </row>
    <row r="27" spans="1:6" ht="16.5" customHeight="1" x14ac:dyDescent="0.3">
      <c r="A27" s="17">
        <v>4</v>
      </c>
      <c r="B27" s="18">
        <v>47745013</v>
      </c>
      <c r="C27" s="18">
        <v>10581.1</v>
      </c>
      <c r="D27" s="19">
        <v>1.1000000000000001</v>
      </c>
      <c r="E27" s="19">
        <v>4.5999999999999996</v>
      </c>
    </row>
    <row r="28" spans="1:6" ht="16.5" customHeight="1" x14ac:dyDescent="0.3">
      <c r="A28" s="17">
        <v>5</v>
      </c>
      <c r="B28" s="18">
        <v>47832363</v>
      </c>
      <c r="C28" s="18">
        <v>10546.9</v>
      </c>
      <c r="D28" s="19">
        <v>1.1000000000000001</v>
      </c>
      <c r="E28" s="19">
        <v>4.5999999999999996</v>
      </c>
    </row>
    <row r="29" spans="1:6" ht="16.5" customHeight="1" x14ac:dyDescent="0.3">
      <c r="A29" s="17">
        <v>6</v>
      </c>
      <c r="B29" s="21">
        <v>47920180</v>
      </c>
      <c r="C29" s="21">
        <v>10488.6</v>
      </c>
      <c r="D29" s="22">
        <v>1</v>
      </c>
      <c r="E29" s="22">
        <v>4.5999999999999996</v>
      </c>
    </row>
    <row r="30" spans="1:6" ht="16.5" customHeight="1" x14ac:dyDescent="0.3">
      <c r="A30" s="23" t="s">
        <v>18</v>
      </c>
      <c r="B30" s="24">
        <f>AVERAGE(B24:B29)</f>
        <v>47828329.333333336</v>
      </c>
      <c r="C30" s="25">
        <f>AVERAGE(C24:C29)</f>
        <v>10498.866666666667</v>
      </c>
      <c r="D30" s="26">
        <f>AVERAGE(D24:D29)</f>
        <v>1.0666666666666667</v>
      </c>
      <c r="E30" s="26">
        <f>AVERAGE(E24:E29)</f>
        <v>4.6000000000000005</v>
      </c>
    </row>
    <row r="31" spans="1:6" ht="16.5" customHeight="1" x14ac:dyDescent="0.3">
      <c r="A31" s="27" t="s">
        <v>19</v>
      </c>
      <c r="B31" s="28">
        <f>(STDEV(B24:B29)/B30)</f>
        <v>1.6651426728732288E-3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122</v>
      </c>
      <c r="C39" s="36"/>
      <c r="D39" s="10"/>
      <c r="E39" s="10"/>
    </row>
    <row r="40" spans="1:6" ht="16.5" customHeight="1" x14ac:dyDescent="0.3">
      <c r="A40" s="11" t="s">
        <v>6</v>
      </c>
      <c r="B40" s="4">
        <v>99.34</v>
      </c>
      <c r="C40" s="36"/>
      <c r="D40" s="10"/>
      <c r="E40" s="10"/>
    </row>
    <row r="41" spans="1:6" ht="16.5" customHeight="1" x14ac:dyDescent="0.3">
      <c r="A41" s="7" t="s">
        <v>8</v>
      </c>
      <c r="B41" s="12">
        <v>35.54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0.15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47736787</v>
      </c>
      <c r="C45" s="18">
        <v>10427.6</v>
      </c>
      <c r="D45" s="19">
        <v>1.1000000000000001</v>
      </c>
      <c r="E45" s="20">
        <v>4.5999999999999996</v>
      </c>
    </row>
    <row r="46" spans="1:6" ht="16.5" customHeight="1" x14ac:dyDescent="0.3">
      <c r="A46" s="17">
        <v>2</v>
      </c>
      <c r="B46" s="18">
        <v>47818722</v>
      </c>
      <c r="C46" s="18">
        <v>10505.7</v>
      </c>
      <c r="D46" s="19">
        <v>1.1000000000000001</v>
      </c>
      <c r="E46" s="19">
        <v>4.5999999999999996</v>
      </c>
    </row>
    <row r="47" spans="1:6" ht="16.5" customHeight="1" x14ac:dyDescent="0.3">
      <c r="A47" s="17">
        <v>3</v>
      </c>
      <c r="B47" s="18">
        <v>47916911</v>
      </c>
      <c r="C47" s="18">
        <v>10443.299999999999</v>
      </c>
      <c r="D47" s="19">
        <v>1</v>
      </c>
      <c r="E47" s="19">
        <v>4.5999999999999996</v>
      </c>
    </row>
    <row r="48" spans="1:6" ht="16.5" customHeight="1" x14ac:dyDescent="0.3">
      <c r="A48" s="17">
        <v>4</v>
      </c>
      <c r="B48" s="18">
        <v>47745013</v>
      </c>
      <c r="C48" s="18">
        <v>10581.1</v>
      </c>
      <c r="D48" s="19">
        <v>1.1000000000000001</v>
      </c>
      <c r="E48" s="19">
        <v>4.5999999999999996</v>
      </c>
    </row>
    <row r="49" spans="1:7" ht="16.5" customHeight="1" x14ac:dyDescent="0.3">
      <c r="A49" s="17">
        <v>5</v>
      </c>
      <c r="B49" s="18">
        <v>47832363</v>
      </c>
      <c r="C49" s="18">
        <v>10546.9</v>
      </c>
      <c r="D49" s="19">
        <v>1.1000000000000001</v>
      </c>
      <c r="E49" s="19">
        <v>4.5999999999999996</v>
      </c>
    </row>
    <row r="50" spans="1:7" ht="16.5" customHeight="1" x14ac:dyDescent="0.3">
      <c r="A50" s="17">
        <v>6</v>
      </c>
      <c r="B50" s="21">
        <v>47920180</v>
      </c>
      <c r="C50" s="21">
        <v>10488.6</v>
      </c>
      <c r="D50" s="22">
        <v>1</v>
      </c>
      <c r="E50" s="22">
        <v>4.5999999999999996</v>
      </c>
    </row>
    <row r="51" spans="1:7" ht="16.5" customHeight="1" x14ac:dyDescent="0.3">
      <c r="A51" s="23" t="s">
        <v>18</v>
      </c>
      <c r="B51" s="24">
        <f>AVERAGE(B45:B50)</f>
        <v>47828329.333333336</v>
      </c>
      <c r="C51" s="25">
        <f>AVERAGE(C45:C50)</f>
        <v>10498.866666666667</v>
      </c>
      <c r="D51" s="26">
        <f>AVERAGE(D45:D50)</f>
        <v>1.0666666666666667</v>
      </c>
      <c r="E51" s="26">
        <f>AVERAGE(E45:E50)</f>
        <v>4.6000000000000005</v>
      </c>
    </row>
    <row r="52" spans="1:7" ht="16.5" customHeight="1" x14ac:dyDescent="0.3">
      <c r="A52" s="27" t="s">
        <v>19</v>
      </c>
      <c r="B52" s="28">
        <f>(STDEV(B45:B50)/B51)</f>
        <v>1.6651426728732288E-3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89" t="s">
        <v>26</v>
      </c>
      <c r="C59" s="489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view="pageBreakPreview" topLeftCell="A133" zoomScale="55" zoomScaleNormal="55" workbookViewId="0">
      <selection sqref="A1:H145"/>
    </sheetView>
  </sheetViews>
  <sheetFormatPr defaultColWidth="9.140625" defaultRowHeight="15" x14ac:dyDescent="0.3"/>
  <cols>
    <col min="1" max="1" width="55.42578125" style="77" customWidth="1"/>
    <col min="2" max="2" width="33.7109375" style="77" customWidth="1"/>
    <col min="3" max="3" width="42.28515625" style="77" customWidth="1"/>
    <col min="4" max="4" width="30.5703125" style="77" customWidth="1"/>
    <col min="5" max="5" width="33.5703125" style="77" customWidth="1"/>
    <col min="6" max="6" width="36" style="77" customWidth="1"/>
    <col min="7" max="7" width="33.140625" style="77" customWidth="1"/>
    <col min="8" max="8" width="29.7109375" style="77" customWidth="1"/>
    <col min="9" max="9" width="29.85546875" style="123" customWidth="1"/>
    <col min="10" max="10" width="34.85546875" style="123" customWidth="1"/>
    <col min="11" max="11" width="9.140625" style="123"/>
    <col min="12" max="16384" width="9.140625" style="44"/>
  </cols>
  <sheetData>
    <row r="1" spans="1:8" ht="13.5" x14ac:dyDescent="0.25">
      <c r="A1" s="500" t="s">
        <v>49</v>
      </c>
      <c r="B1" s="500"/>
      <c r="C1" s="500"/>
      <c r="D1" s="500"/>
      <c r="E1" s="500"/>
      <c r="F1" s="500"/>
      <c r="G1" s="500"/>
      <c r="H1" s="500"/>
    </row>
    <row r="2" spans="1:8" ht="13.5" x14ac:dyDescent="0.25">
      <c r="A2" s="500"/>
      <c r="B2" s="500"/>
      <c r="C2" s="500"/>
      <c r="D2" s="500"/>
      <c r="E2" s="500"/>
      <c r="F2" s="500"/>
      <c r="G2" s="500"/>
      <c r="H2" s="500"/>
    </row>
    <row r="3" spans="1:8" ht="13.5" x14ac:dyDescent="0.25">
      <c r="A3" s="500"/>
      <c r="B3" s="500"/>
      <c r="C3" s="500"/>
      <c r="D3" s="500"/>
      <c r="E3" s="500"/>
      <c r="F3" s="500"/>
      <c r="G3" s="500"/>
      <c r="H3" s="500"/>
    </row>
    <row r="4" spans="1:8" ht="13.5" x14ac:dyDescent="0.25">
      <c r="A4" s="500"/>
      <c r="B4" s="500"/>
      <c r="C4" s="500"/>
      <c r="D4" s="500"/>
      <c r="E4" s="500"/>
      <c r="F4" s="500"/>
      <c r="G4" s="500"/>
      <c r="H4" s="500"/>
    </row>
    <row r="5" spans="1:8" ht="13.5" x14ac:dyDescent="0.25">
      <c r="A5" s="500"/>
      <c r="B5" s="500"/>
      <c r="C5" s="500"/>
      <c r="D5" s="500"/>
      <c r="E5" s="500"/>
      <c r="F5" s="500"/>
      <c r="G5" s="500"/>
      <c r="H5" s="500"/>
    </row>
    <row r="6" spans="1:8" ht="13.5" x14ac:dyDescent="0.25">
      <c r="A6" s="500"/>
      <c r="B6" s="500"/>
      <c r="C6" s="500"/>
      <c r="D6" s="500"/>
      <c r="E6" s="500"/>
      <c r="F6" s="500"/>
      <c r="G6" s="500"/>
      <c r="H6" s="500"/>
    </row>
    <row r="7" spans="1:8" ht="13.5" x14ac:dyDescent="0.25">
      <c r="A7" s="500"/>
      <c r="B7" s="500"/>
      <c r="C7" s="500"/>
      <c r="D7" s="500"/>
      <c r="E7" s="500"/>
      <c r="F7" s="500"/>
      <c r="G7" s="500"/>
      <c r="H7" s="500"/>
    </row>
    <row r="8" spans="1:8" ht="13.5" x14ac:dyDescent="0.25">
      <c r="A8" s="501" t="s">
        <v>50</v>
      </c>
      <c r="B8" s="501"/>
      <c r="C8" s="501"/>
      <c r="D8" s="501"/>
      <c r="E8" s="501"/>
      <c r="F8" s="501"/>
      <c r="G8" s="501"/>
      <c r="H8" s="501"/>
    </row>
    <row r="9" spans="1:8" ht="13.5" x14ac:dyDescent="0.25">
      <c r="A9" s="501"/>
      <c r="B9" s="501"/>
      <c r="C9" s="501"/>
      <c r="D9" s="501"/>
      <c r="E9" s="501"/>
      <c r="F9" s="501"/>
      <c r="G9" s="501"/>
      <c r="H9" s="501"/>
    </row>
    <row r="10" spans="1:8" ht="13.5" x14ac:dyDescent="0.25">
      <c r="A10" s="501"/>
      <c r="B10" s="501"/>
      <c r="C10" s="501"/>
      <c r="D10" s="501"/>
      <c r="E10" s="501"/>
      <c r="F10" s="501"/>
      <c r="G10" s="501"/>
      <c r="H10" s="501"/>
    </row>
    <row r="11" spans="1:8" ht="13.5" x14ac:dyDescent="0.25">
      <c r="A11" s="501"/>
      <c r="B11" s="501"/>
      <c r="C11" s="501"/>
      <c r="D11" s="501"/>
      <c r="E11" s="501"/>
      <c r="F11" s="501"/>
      <c r="G11" s="501"/>
      <c r="H11" s="501"/>
    </row>
    <row r="12" spans="1:8" ht="13.5" x14ac:dyDescent="0.25">
      <c r="A12" s="501"/>
      <c r="B12" s="501"/>
      <c r="C12" s="501"/>
      <c r="D12" s="501"/>
      <c r="E12" s="501"/>
      <c r="F12" s="501"/>
      <c r="G12" s="501"/>
      <c r="H12" s="501"/>
    </row>
    <row r="13" spans="1:8" ht="13.5" x14ac:dyDescent="0.25">
      <c r="A13" s="501"/>
      <c r="B13" s="501"/>
      <c r="C13" s="501"/>
      <c r="D13" s="501"/>
      <c r="E13" s="501"/>
      <c r="F13" s="501"/>
      <c r="G13" s="501"/>
      <c r="H13" s="501"/>
    </row>
    <row r="14" spans="1:8" ht="13.5" x14ac:dyDescent="0.25">
      <c r="A14" s="501"/>
      <c r="B14" s="501"/>
      <c r="C14" s="501"/>
      <c r="D14" s="501"/>
      <c r="E14" s="501"/>
      <c r="F14" s="501"/>
      <c r="G14" s="501"/>
      <c r="H14" s="501"/>
    </row>
    <row r="15" spans="1:8" ht="19.5" customHeight="1" thickBot="1" x14ac:dyDescent="0.35"/>
    <row r="16" spans="1:8" ht="19.5" customHeight="1" thickBot="1" x14ac:dyDescent="0.35">
      <c r="A16" s="502" t="s">
        <v>31</v>
      </c>
      <c r="B16" s="503"/>
      <c r="C16" s="503"/>
      <c r="D16" s="503"/>
      <c r="E16" s="503"/>
      <c r="F16" s="503"/>
      <c r="G16" s="503"/>
      <c r="H16" s="504"/>
    </row>
    <row r="17" spans="1:13" ht="20.25" customHeight="1" x14ac:dyDescent="0.25">
      <c r="A17" s="505" t="s">
        <v>51</v>
      </c>
      <c r="B17" s="505"/>
      <c r="C17" s="505"/>
      <c r="D17" s="505"/>
      <c r="E17" s="505"/>
      <c r="F17" s="505"/>
      <c r="G17" s="505"/>
      <c r="H17" s="505"/>
    </row>
    <row r="18" spans="1:13" ht="26.25" customHeight="1" x14ac:dyDescent="0.4">
      <c r="A18" s="304" t="s">
        <v>33</v>
      </c>
      <c r="B18" s="506" t="s">
        <v>5</v>
      </c>
      <c r="C18" s="506"/>
      <c r="D18" s="506" t="s">
        <v>5</v>
      </c>
      <c r="E18" s="506"/>
    </row>
    <row r="19" spans="1:13" ht="26.25" customHeight="1" x14ac:dyDescent="0.4">
      <c r="A19" s="304" t="s">
        <v>34</v>
      </c>
      <c r="B19" s="124" t="s">
        <v>7</v>
      </c>
      <c r="C19" s="433">
        <v>2</v>
      </c>
    </row>
    <row r="20" spans="1:13" ht="26.25" customHeight="1" x14ac:dyDescent="0.4">
      <c r="A20" s="304" t="s">
        <v>35</v>
      </c>
      <c r="B20" s="507" t="s">
        <v>9</v>
      </c>
      <c r="C20" s="507"/>
    </row>
    <row r="21" spans="1:13" ht="26.25" customHeight="1" x14ac:dyDescent="0.4">
      <c r="A21" s="304" t="s">
        <v>36</v>
      </c>
      <c r="B21" s="507" t="s">
        <v>11</v>
      </c>
      <c r="C21" s="507"/>
      <c r="D21" s="507"/>
      <c r="E21" s="507"/>
      <c r="F21" s="507"/>
      <c r="G21" s="507"/>
      <c r="H21" s="507"/>
    </row>
    <row r="22" spans="1:13" ht="26.25" customHeight="1" x14ac:dyDescent="0.3">
      <c r="A22" s="304" t="s">
        <v>37</v>
      </c>
      <c r="B22" s="305"/>
    </row>
    <row r="23" spans="1:13" ht="26.25" customHeight="1" x14ac:dyDescent="0.3">
      <c r="A23" s="304" t="s">
        <v>38</v>
      </c>
      <c r="B23" s="305"/>
    </row>
    <row r="24" spans="1:13" ht="18.75" x14ac:dyDescent="0.3">
      <c r="A24" s="304"/>
      <c r="B24" s="306"/>
    </row>
    <row r="25" spans="1:13" ht="18.75" x14ac:dyDescent="0.3">
      <c r="A25" s="307" t="s">
        <v>1</v>
      </c>
      <c r="B25" s="306"/>
    </row>
    <row r="26" spans="1:13" ht="26.25" customHeight="1" x14ac:dyDescent="0.3">
      <c r="A26" s="474" t="s">
        <v>4</v>
      </c>
      <c r="B26" s="508" t="s">
        <v>122</v>
      </c>
      <c r="C26" s="508"/>
    </row>
    <row r="27" spans="1:13" ht="26.25" customHeight="1" x14ac:dyDescent="0.3">
      <c r="A27" s="411" t="s">
        <v>52</v>
      </c>
      <c r="B27" s="508" t="s">
        <v>123</v>
      </c>
      <c r="C27" s="508"/>
    </row>
    <row r="28" spans="1:13" ht="27" customHeight="1" thickBot="1" x14ac:dyDescent="0.35">
      <c r="A28" s="411" t="s">
        <v>6</v>
      </c>
      <c r="B28" s="311">
        <v>99.34</v>
      </c>
    </row>
    <row r="29" spans="1:13" s="12" customFormat="1" ht="15.75" customHeight="1" thickBot="1" x14ac:dyDescent="0.35">
      <c r="A29" s="411" t="s">
        <v>53</v>
      </c>
      <c r="B29" s="311">
        <v>0</v>
      </c>
      <c r="C29" s="509" t="s">
        <v>113</v>
      </c>
      <c r="D29" s="510"/>
      <c r="E29" s="510"/>
      <c r="F29" s="510"/>
      <c r="G29" s="510"/>
      <c r="H29" s="511"/>
      <c r="I29" s="312"/>
      <c r="J29" s="312"/>
      <c r="K29" s="312"/>
    </row>
    <row r="30" spans="1:13" s="12" customFormat="1" ht="19.5" customHeight="1" thickBot="1" x14ac:dyDescent="0.35">
      <c r="A30" s="411" t="s">
        <v>54</v>
      </c>
      <c r="B30" s="487">
        <f>B28-B29</f>
        <v>99.34</v>
      </c>
      <c r="C30" s="314"/>
      <c r="D30" s="314"/>
      <c r="E30" s="314"/>
      <c r="F30" s="314"/>
      <c r="G30" s="314"/>
      <c r="H30" s="315"/>
      <c r="I30" s="312"/>
      <c r="J30" s="312"/>
      <c r="K30" s="312"/>
    </row>
    <row r="31" spans="1:13" s="12" customFormat="1" ht="27" customHeight="1" thickBot="1" x14ac:dyDescent="0.35">
      <c r="A31" s="411" t="s">
        <v>55</v>
      </c>
      <c r="B31" s="316">
        <v>1</v>
      </c>
      <c r="C31" s="497" t="s">
        <v>56</v>
      </c>
      <c r="D31" s="498"/>
      <c r="E31" s="498"/>
      <c r="F31" s="498"/>
      <c r="G31" s="498"/>
      <c r="H31" s="499"/>
      <c r="I31" s="312"/>
      <c r="J31" s="312"/>
      <c r="K31" s="312"/>
    </row>
    <row r="32" spans="1:13" s="12" customFormat="1" ht="27" customHeight="1" thickBot="1" x14ac:dyDescent="0.35">
      <c r="A32" s="411" t="s">
        <v>57</v>
      </c>
      <c r="B32" s="316">
        <v>1</v>
      </c>
      <c r="C32" s="497" t="s">
        <v>58</v>
      </c>
      <c r="D32" s="498"/>
      <c r="E32" s="498"/>
      <c r="F32" s="498"/>
      <c r="G32" s="498"/>
      <c r="H32" s="499"/>
      <c r="I32" s="312"/>
      <c r="J32" s="312"/>
      <c r="K32" s="317"/>
      <c r="L32" s="317"/>
      <c r="M32" s="318"/>
    </row>
    <row r="33" spans="1:13" s="12" customFormat="1" ht="17.25" customHeight="1" x14ac:dyDescent="0.3">
      <c r="A33" s="411"/>
      <c r="B33" s="319"/>
      <c r="C33" s="320"/>
      <c r="D33" s="320"/>
      <c r="E33" s="320"/>
      <c r="F33" s="320"/>
      <c r="G33" s="320"/>
      <c r="H33" s="320"/>
      <c r="I33" s="312"/>
      <c r="J33" s="312"/>
      <c r="K33" s="317"/>
      <c r="L33" s="317"/>
      <c r="M33" s="318"/>
    </row>
    <row r="34" spans="1:13" s="12" customFormat="1" ht="18.75" x14ac:dyDescent="0.3">
      <c r="A34" s="411" t="s">
        <v>59</v>
      </c>
      <c r="B34" s="321">
        <f>B31/B32</f>
        <v>1</v>
      </c>
      <c r="C34" s="433" t="s">
        <v>60</v>
      </c>
      <c r="D34" s="433"/>
      <c r="E34" s="433"/>
      <c r="F34" s="433"/>
      <c r="G34" s="433"/>
      <c r="H34" s="322"/>
      <c r="I34" s="312"/>
      <c r="J34" s="312"/>
      <c r="K34" s="317"/>
      <c r="L34" s="317"/>
      <c r="M34" s="318"/>
    </row>
    <row r="35" spans="1:13" s="12" customFormat="1" ht="19.5" customHeight="1" thickBot="1" x14ac:dyDescent="0.35">
      <c r="A35" s="411"/>
      <c r="B35" s="487"/>
      <c r="C35" s="322"/>
      <c r="D35" s="322"/>
      <c r="E35" s="322"/>
      <c r="F35" s="322"/>
      <c r="G35" s="433"/>
      <c r="H35" s="322"/>
      <c r="I35" s="312"/>
      <c r="J35" s="312"/>
      <c r="K35" s="317"/>
      <c r="L35" s="317"/>
      <c r="M35" s="318"/>
    </row>
    <row r="36" spans="1:13" s="12" customFormat="1" ht="15.75" customHeight="1" thickBot="1" x14ac:dyDescent="0.35">
      <c r="A36" s="323" t="s">
        <v>114</v>
      </c>
      <c r="B36" s="324">
        <v>25</v>
      </c>
      <c r="C36" s="433"/>
      <c r="D36" s="513" t="s">
        <v>61</v>
      </c>
      <c r="E36" s="514"/>
      <c r="F36" s="513" t="s">
        <v>62</v>
      </c>
      <c r="G36" s="514"/>
      <c r="H36" s="322"/>
      <c r="I36" s="312"/>
      <c r="J36" s="312"/>
      <c r="K36" s="317"/>
      <c r="L36" s="317"/>
      <c r="M36" s="318"/>
    </row>
    <row r="37" spans="1:13" s="12" customFormat="1" ht="15.75" customHeight="1" x14ac:dyDescent="0.3">
      <c r="A37" s="325" t="s">
        <v>63</v>
      </c>
      <c r="B37" s="326">
        <v>5</v>
      </c>
      <c r="C37" s="327" t="s">
        <v>64</v>
      </c>
      <c r="D37" s="328" t="s">
        <v>65</v>
      </c>
      <c r="E37" s="329" t="s">
        <v>66</v>
      </c>
      <c r="F37" s="328" t="s">
        <v>65</v>
      </c>
      <c r="G37" s="330" t="s">
        <v>66</v>
      </c>
      <c r="H37" s="322"/>
      <c r="I37" s="312"/>
      <c r="J37" s="312"/>
      <c r="K37" s="317"/>
      <c r="L37" s="317"/>
      <c r="M37" s="318"/>
    </row>
    <row r="38" spans="1:13" s="12" customFormat="1" ht="26.25" customHeight="1" x14ac:dyDescent="0.3">
      <c r="A38" s="325" t="s">
        <v>67</v>
      </c>
      <c r="B38" s="326">
        <v>50</v>
      </c>
      <c r="C38" s="331">
        <v>1</v>
      </c>
      <c r="D38" s="332">
        <v>47754860</v>
      </c>
      <c r="E38" s="333">
        <f>IF(ISBLANK(D38),"-",$D$48/$D$45*D38)</f>
        <v>50723272.472828262</v>
      </c>
      <c r="F38" s="332">
        <v>50783069</v>
      </c>
      <c r="G38" s="334">
        <f>IF(ISBLANK(F38),"-",$D$48/$F$45*F38)</f>
        <v>50000453.895554155</v>
      </c>
      <c r="H38" s="322"/>
      <c r="I38" s="312"/>
      <c r="J38" s="312"/>
      <c r="K38" s="317"/>
      <c r="L38" s="317"/>
      <c r="M38" s="318"/>
    </row>
    <row r="39" spans="1:13" s="12" customFormat="1" ht="26.25" customHeight="1" x14ac:dyDescent="0.3">
      <c r="A39" s="325" t="s">
        <v>68</v>
      </c>
      <c r="B39" s="326">
        <v>1</v>
      </c>
      <c r="C39" s="335">
        <v>2</v>
      </c>
      <c r="D39" s="336">
        <v>47869354</v>
      </c>
      <c r="E39" s="337">
        <f>IF(ISBLANK(D39),"-",$D$48/$D$45*D39)</f>
        <v>50844883.348841801</v>
      </c>
      <c r="F39" s="336">
        <v>50709357</v>
      </c>
      <c r="G39" s="338">
        <f>IF(ISBLANK(F39),"-",$D$48/$F$45*F39)</f>
        <v>49927877.867162697</v>
      </c>
      <c r="H39" s="322"/>
      <c r="I39" s="312"/>
      <c r="J39" s="312"/>
      <c r="K39" s="317"/>
      <c r="L39" s="317"/>
      <c r="M39" s="318"/>
    </row>
    <row r="40" spans="1:13" ht="26.25" customHeight="1" x14ac:dyDescent="0.3">
      <c r="A40" s="325" t="s">
        <v>69</v>
      </c>
      <c r="B40" s="326">
        <v>1</v>
      </c>
      <c r="C40" s="335">
        <v>3</v>
      </c>
      <c r="D40" s="336">
        <v>47827036</v>
      </c>
      <c r="E40" s="337">
        <f>IF(ISBLANK(D40),"-",$D$48/$D$45*D40)</f>
        <v>50799934.888213813</v>
      </c>
      <c r="F40" s="336">
        <v>50726689</v>
      </c>
      <c r="G40" s="338">
        <f>IF(ISBLANK(F40),"-",$D$48/$F$45*F40)</f>
        <v>49944942.764656737</v>
      </c>
      <c r="K40" s="317"/>
      <c r="L40" s="317"/>
      <c r="M40" s="339"/>
    </row>
    <row r="41" spans="1:13" ht="26.25" customHeight="1" x14ac:dyDescent="0.3">
      <c r="A41" s="325" t="s">
        <v>70</v>
      </c>
      <c r="B41" s="326">
        <v>1</v>
      </c>
      <c r="C41" s="340">
        <v>4</v>
      </c>
      <c r="D41" s="341"/>
      <c r="E41" s="342" t="str">
        <f>IF(ISBLANK(D41),"-",$D$48/$D$45*D41)</f>
        <v>-</v>
      </c>
      <c r="F41" s="341"/>
      <c r="G41" s="343" t="str">
        <f>IF(ISBLANK(F41),"-",$D$48/$F$45*F41)</f>
        <v>-</v>
      </c>
      <c r="K41" s="317"/>
      <c r="L41" s="317"/>
      <c r="M41" s="339"/>
    </row>
    <row r="42" spans="1:13" ht="27" customHeight="1" thickBot="1" x14ac:dyDescent="0.3">
      <c r="A42" s="325" t="s">
        <v>71</v>
      </c>
      <c r="B42" s="326">
        <v>1</v>
      </c>
      <c r="C42" s="344" t="s">
        <v>72</v>
      </c>
      <c r="D42" s="345">
        <f>AVERAGE(D38:D41)</f>
        <v>47817083.333333336</v>
      </c>
      <c r="E42" s="346">
        <f>AVERAGE(E38:E41)</f>
        <v>50789363.569961287</v>
      </c>
      <c r="F42" s="347">
        <f>AVERAGE(F38:F41)</f>
        <v>50739705</v>
      </c>
      <c r="G42" s="348">
        <f>AVERAGE(G38:G41)</f>
        <v>49957758.175791204</v>
      </c>
      <c r="H42" s="435"/>
    </row>
    <row r="43" spans="1:13" ht="26.25" customHeight="1" x14ac:dyDescent="0.3">
      <c r="A43" s="325" t="s">
        <v>73</v>
      </c>
      <c r="B43" s="311">
        <v>1</v>
      </c>
      <c r="C43" s="350" t="s">
        <v>104</v>
      </c>
      <c r="D43" s="351">
        <v>35.54</v>
      </c>
      <c r="E43" s="433"/>
      <c r="F43" s="353">
        <v>38.340000000000003</v>
      </c>
      <c r="H43" s="435"/>
    </row>
    <row r="44" spans="1:13" ht="26.25" customHeight="1" x14ac:dyDescent="0.3">
      <c r="A44" s="325" t="s">
        <v>74</v>
      </c>
      <c r="B44" s="311">
        <v>1</v>
      </c>
      <c r="C44" s="354" t="s">
        <v>105</v>
      </c>
      <c r="D44" s="355">
        <f>D43*$B$34</f>
        <v>35.54</v>
      </c>
      <c r="E44" s="406"/>
      <c r="F44" s="357">
        <f>F43*$B$34</f>
        <v>38.340000000000003</v>
      </c>
      <c r="H44" s="435"/>
    </row>
    <row r="45" spans="1:13" ht="19.5" customHeight="1" thickBot="1" x14ac:dyDescent="0.35">
      <c r="A45" s="325" t="s">
        <v>75</v>
      </c>
      <c r="B45" s="487">
        <f>(B44/B43)*(B42/B41)*(B40/B39)*(B38/B37)*B36</f>
        <v>250</v>
      </c>
      <c r="C45" s="354" t="s">
        <v>76</v>
      </c>
      <c r="D45" s="359">
        <f>D44*$B$30/100</f>
        <v>35.305436</v>
      </c>
      <c r="E45" s="404"/>
      <c r="F45" s="361">
        <f>F44*$B$30/100</f>
        <v>38.086956000000008</v>
      </c>
      <c r="H45" s="435"/>
    </row>
    <row r="46" spans="1:13" ht="19.5" customHeight="1" thickBot="1" x14ac:dyDescent="0.35">
      <c r="A46" s="515" t="s">
        <v>77</v>
      </c>
      <c r="B46" s="516"/>
      <c r="C46" s="354" t="s">
        <v>78</v>
      </c>
      <c r="D46" s="355">
        <f>D45/$B$45</f>
        <v>0.14122174400000001</v>
      </c>
      <c r="E46" s="404"/>
      <c r="F46" s="362">
        <f>F45/$B$45</f>
        <v>0.15234782400000002</v>
      </c>
      <c r="H46" s="435"/>
    </row>
    <row r="47" spans="1:13" ht="27" customHeight="1" thickBot="1" x14ac:dyDescent="0.35">
      <c r="A47" s="517"/>
      <c r="B47" s="518"/>
      <c r="C47" s="354" t="s">
        <v>115</v>
      </c>
      <c r="D47" s="363">
        <v>0.15</v>
      </c>
      <c r="F47" s="364"/>
      <c r="H47" s="435"/>
    </row>
    <row r="48" spans="1:13" ht="18.75" x14ac:dyDescent="0.3">
      <c r="C48" s="354" t="s">
        <v>79</v>
      </c>
      <c r="D48" s="355">
        <f>D47*$B$45</f>
        <v>37.5</v>
      </c>
      <c r="F48" s="364"/>
      <c r="H48" s="435"/>
    </row>
    <row r="49" spans="1:11" ht="19.5" customHeight="1" thickBot="1" x14ac:dyDescent="0.35">
      <c r="C49" s="365" t="s">
        <v>80</v>
      </c>
      <c r="D49" s="427">
        <f>D48/B34</f>
        <v>37.5</v>
      </c>
      <c r="F49" s="367"/>
      <c r="H49" s="435"/>
    </row>
    <row r="50" spans="1:11" ht="18.75" x14ac:dyDescent="0.3">
      <c r="C50" s="368" t="s">
        <v>81</v>
      </c>
      <c r="D50" s="369">
        <f>AVERAGE(E38:E41,G38:G41)</f>
        <v>50373560.872876249</v>
      </c>
      <c r="F50" s="367"/>
      <c r="H50" s="435"/>
    </row>
    <row r="51" spans="1:11" ht="18.75" x14ac:dyDescent="0.3">
      <c r="C51" s="370" t="s">
        <v>82</v>
      </c>
      <c r="D51" s="371">
        <f>STDEV(E38:E41,G38:G41)/D50</f>
        <v>9.0876208710606483E-3</v>
      </c>
      <c r="F51" s="367"/>
    </row>
    <row r="52" spans="1:11" ht="19.5" customHeight="1" thickBot="1" x14ac:dyDescent="0.35">
      <c r="C52" s="372" t="s">
        <v>20</v>
      </c>
      <c r="D52" s="373">
        <f>COUNT(E38:E41,G38:G41)</f>
        <v>6</v>
      </c>
      <c r="F52" s="367"/>
    </row>
    <row r="54" spans="1:11" ht="18.75" x14ac:dyDescent="0.3">
      <c r="A54" s="374" t="s">
        <v>1</v>
      </c>
      <c r="B54" s="375" t="s">
        <v>83</v>
      </c>
    </row>
    <row r="55" spans="1:11" ht="18.75" x14ac:dyDescent="0.3">
      <c r="A55" s="433" t="s">
        <v>84</v>
      </c>
      <c r="B55" s="377" t="str">
        <f>B21</f>
        <v>Each hard gelatin capsule contains: Rabeprazole Sodium (enteric coated) 20 mg, 
Itopride hydrochloride (Sustained Release) 150 mg</v>
      </c>
    </row>
    <row r="56" spans="1:11" ht="26.25" customHeight="1" x14ac:dyDescent="0.3">
      <c r="A56" s="377" t="s">
        <v>116</v>
      </c>
      <c r="B56" s="311">
        <v>150</v>
      </c>
      <c r="C56" s="433" t="str">
        <f>B20</f>
        <v>Rabeprazole sodium  &amp; Itopride hydrochloride</v>
      </c>
      <c r="H56" s="406"/>
    </row>
    <row r="57" spans="1:11" ht="18.75" x14ac:dyDescent="0.3">
      <c r="A57" s="377" t="s">
        <v>117</v>
      </c>
      <c r="B57" s="479">
        <f>Uniformity!B47</f>
        <v>356.62599999999998</v>
      </c>
      <c r="H57" s="406"/>
    </row>
    <row r="58" spans="1:11" ht="19.5" customHeight="1" thickBot="1" x14ac:dyDescent="0.35">
      <c r="H58" s="406"/>
    </row>
    <row r="59" spans="1:11" s="12" customFormat="1" ht="27" customHeight="1" thickBot="1" x14ac:dyDescent="0.35">
      <c r="A59" s="323" t="s">
        <v>118</v>
      </c>
      <c r="B59" s="324">
        <v>100</v>
      </c>
      <c r="C59" s="433"/>
      <c r="D59" s="379" t="s">
        <v>85</v>
      </c>
      <c r="E59" s="483" t="s">
        <v>64</v>
      </c>
      <c r="F59" s="483" t="s">
        <v>65</v>
      </c>
      <c r="G59" s="483" t="s">
        <v>86</v>
      </c>
      <c r="H59" s="327" t="s">
        <v>87</v>
      </c>
      <c r="K59" s="312"/>
    </row>
    <row r="60" spans="1:11" s="12" customFormat="1" ht="26.25" customHeight="1" x14ac:dyDescent="0.3">
      <c r="A60" s="325" t="s">
        <v>110</v>
      </c>
      <c r="B60" s="326">
        <v>5</v>
      </c>
      <c r="C60" s="519" t="s">
        <v>88</v>
      </c>
      <c r="D60" s="522">
        <v>353.81</v>
      </c>
      <c r="E60" s="381">
        <v>1</v>
      </c>
      <c r="F60" s="382">
        <v>47493304</v>
      </c>
      <c r="G60" s="383">
        <f>IF(ISBLANK(F60),"-",(F60/$D$50*$D$47*$B$68)*($B$57/$D$60))</f>
        <v>142.54890629714296</v>
      </c>
      <c r="H60" s="384">
        <f t="shared" ref="H60:H71" si="0">IF(ISBLANK(F60),"-",G60/$B$56)</f>
        <v>0.95032604198095305</v>
      </c>
      <c r="K60" s="312"/>
    </row>
    <row r="61" spans="1:11" s="12" customFormat="1" ht="26.25" customHeight="1" x14ac:dyDescent="0.3">
      <c r="A61" s="325" t="s">
        <v>89</v>
      </c>
      <c r="B61" s="326">
        <v>50</v>
      </c>
      <c r="C61" s="520"/>
      <c r="D61" s="523"/>
      <c r="E61" s="385">
        <v>2</v>
      </c>
      <c r="F61" s="336">
        <v>47648384</v>
      </c>
      <c r="G61" s="386">
        <f>IF(ISBLANK(F61),"-",(F61/$D$50*$D$47*$B$68)*($B$57/$D$60))</f>
        <v>143.0143715843877</v>
      </c>
      <c r="H61" s="387">
        <f t="shared" si="0"/>
        <v>0.95342914389591804</v>
      </c>
      <c r="K61" s="312"/>
    </row>
    <row r="62" spans="1:11" s="12" customFormat="1" ht="26.25" customHeight="1" x14ac:dyDescent="0.3">
      <c r="A62" s="325" t="s">
        <v>90</v>
      </c>
      <c r="B62" s="326">
        <v>1</v>
      </c>
      <c r="C62" s="520"/>
      <c r="D62" s="523"/>
      <c r="E62" s="385">
        <v>3</v>
      </c>
      <c r="F62" s="336">
        <v>47584161</v>
      </c>
      <c r="G62" s="386">
        <f>IF(ISBLANK(F62),"-",(F62/$D$50*$D$47*$B$68)*($B$57/$D$60))</f>
        <v>142.82160928658837</v>
      </c>
      <c r="H62" s="387">
        <f t="shared" si="0"/>
        <v>0.95214406191058909</v>
      </c>
      <c r="K62" s="312"/>
    </row>
    <row r="63" spans="1:11" ht="27" customHeight="1" thickBot="1" x14ac:dyDescent="0.3">
      <c r="A63" s="325" t="s">
        <v>91</v>
      </c>
      <c r="B63" s="326">
        <v>1</v>
      </c>
      <c r="C63" s="521"/>
      <c r="D63" s="524"/>
      <c r="E63" s="388">
        <v>4</v>
      </c>
      <c r="F63" s="389"/>
      <c r="G63" s="386" t="str">
        <f>IF(ISBLANK(F63),"-",(F63/$D$50*$D$47*$B$68)*($B$57/$D$60))</f>
        <v>-</v>
      </c>
      <c r="H63" s="387" t="str">
        <f t="shared" si="0"/>
        <v>-</v>
      </c>
    </row>
    <row r="64" spans="1:11" ht="26.25" customHeight="1" x14ac:dyDescent="0.25">
      <c r="A64" s="325" t="s">
        <v>92</v>
      </c>
      <c r="B64" s="326">
        <v>1</v>
      </c>
      <c r="C64" s="519" t="s">
        <v>93</v>
      </c>
      <c r="D64" s="522">
        <v>346.51</v>
      </c>
      <c r="E64" s="381">
        <v>1</v>
      </c>
      <c r="F64" s="382">
        <v>48041811</v>
      </c>
      <c r="G64" s="390">
        <f>IF(ISBLANK(F64),"-",(F64/$D$50*$D$47*$B$68)*($B$57/$D$64))</f>
        <v>147.23301563209611</v>
      </c>
      <c r="H64" s="391">
        <f t="shared" si="0"/>
        <v>0.98155343754730739</v>
      </c>
    </row>
    <row r="65" spans="1:8" ht="26.25" customHeight="1" x14ac:dyDescent="0.25">
      <c r="A65" s="325" t="s">
        <v>94</v>
      </c>
      <c r="B65" s="326">
        <v>1</v>
      </c>
      <c r="C65" s="520"/>
      <c r="D65" s="523"/>
      <c r="E65" s="385">
        <v>2</v>
      </c>
      <c r="F65" s="336">
        <v>48068907</v>
      </c>
      <c r="G65" s="392">
        <f>IF(ISBLANK(F65),"-",(F65/$D$50*$D$47*$B$68)*($B$57/$D$64))</f>
        <v>147.31605633577752</v>
      </c>
      <c r="H65" s="465">
        <f t="shared" si="0"/>
        <v>0.98210704223851675</v>
      </c>
    </row>
    <row r="66" spans="1:8" ht="26.25" customHeight="1" x14ac:dyDescent="0.25">
      <c r="A66" s="325" t="s">
        <v>95</v>
      </c>
      <c r="B66" s="326">
        <v>1</v>
      </c>
      <c r="C66" s="520"/>
      <c r="D66" s="523"/>
      <c r="E66" s="385">
        <v>3</v>
      </c>
      <c r="F66" s="336">
        <v>48130369</v>
      </c>
      <c r="G66" s="392">
        <f>IF(ISBLANK(F66),"-",(F66/$D$50*$D$47*$B$68)*($B$57/$D$64))</f>
        <v>147.50441800280083</v>
      </c>
      <c r="H66" s="465">
        <f t="shared" si="0"/>
        <v>0.98336278668533883</v>
      </c>
    </row>
    <row r="67" spans="1:8" ht="27" customHeight="1" thickBot="1" x14ac:dyDescent="0.3">
      <c r="A67" s="325" t="s">
        <v>96</v>
      </c>
      <c r="B67" s="326">
        <v>1</v>
      </c>
      <c r="C67" s="521"/>
      <c r="D67" s="524"/>
      <c r="E67" s="388">
        <v>4</v>
      </c>
      <c r="F67" s="389"/>
      <c r="G67" s="394" t="str">
        <f>IF(ISBLANK(F67),"-",(F67/$D$50*$D$47*$B$68)*($B$57/$D$64))</f>
        <v>-</v>
      </c>
      <c r="H67" s="395" t="str">
        <f t="shared" si="0"/>
        <v>-</v>
      </c>
    </row>
    <row r="68" spans="1:8" ht="26.25" customHeight="1" x14ac:dyDescent="0.25">
      <c r="A68" s="325" t="s">
        <v>97</v>
      </c>
      <c r="B68" s="454">
        <f>(B67/B66)*(B65/B64)*(B63/B62)*(B61/B60)*B59</f>
        <v>1000</v>
      </c>
      <c r="C68" s="519" t="s">
        <v>98</v>
      </c>
      <c r="D68" s="522">
        <v>331.49</v>
      </c>
      <c r="E68" s="381">
        <v>1</v>
      </c>
      <c r="F68" s="382">
        <v>45149607</v>
      </c>
      <c r="G68" s="390">
        <f>IF(ISBLANK(F68),"-",(F68/$D$50*$D$47*$B$68)*($B$57/$D$68))</f>
        <v>144.63891400608179</v>
      </c>
      <c r="H68" s="387">
        <f t="shared" si="0"/>
        <v>0.96425942670721199</v>
      </c>
    </row>
    <row r="69" spans="1:8" ht="27" customHeight="1" thickBot="1" x14ac:dyDescent="0.3">
      <c r="A69" s="397" t="s">
        <v>99</v>
      </c>
      <c r="B69" s="481">
        <f>(D47*B68)/B56*B57</f>
        <v>356.62599999999998</v>
      </c>
      <c r="C69" s="520"/>
      <c r="D69" s="523"/>
      <c r="E69" s="385">
        <v>2</v>
      </c>
      <c r="F69" s="336">
        <v>45158837</v>
      </c>
      <c r="G69" s="392">
        <f>IF(ISBLANK(F69),"-",(F69/$D$50*$D$47*$B$68)*($B$57/$D$68))</f>
        <v>144.6684827501968</v>
      </c>
      <c r="H69" s="387">
        <f t="shared" si="0"/>
        <v>0.96445655166797872</v>
      </c>
    </row>
    <row r="70" spans="1:8" ht="26.25" customHeight="1" x14ac:dyDescent="0.25">
      <c r="A70" s="525" t="s">
        <v>77</v>
      </c>
      <c r="B70" s="526"/>
      <c r="C70" s="520"/>
      <c r="D70" s="523"/>
      <c r="E70" s="385">
        <v>3</v>
      </c>
      <c r="F70" s="336">
        <v>44940036</v>
      </c>
      <c r="G70" s="392">
        <f>IF(ISBLANK(F70),"-",(F70/$D$50*$D$47*$B$68)*($B$57/$D$68))</f>
        <v>143.96754333729237</v>
      </c>
      <c r="H70" s="387">
        <f t="shared" si="0"/>
        <v>0.9597836222486158</v>
      </c>
    </row>
    <row r="71" spans="1:8" ht="27" customHeight="1" thickBot="1" x14ac:dyDescent="0.3">
      <c r="A71" s="527"/>
      <c r="B71" s="528"/>
      <c r="C71" s="521"/>
      <c r="D71" s="524"/>
      <c r="E71" s="388">
        <v>4</v>
      </c>
      <c r="F71" s="389"/>
      <c r="G71" s="394" t="str">
        <f>IF(ISBLANK(F71),"-",(F71/$D$50*$D$47*$B$68)*($B$57/$D$68))</f>
        <v>-</v>
      </c>
      <c r="H71" s="398" t="str">
        <f t="shared" si="0"/>
        <v>-</v>
      </c>
    </row>
    <row r="72" spans="1:8" ht="26.25" customHeight="1" x14ac:dyDescent="0.25">
      <c r="A72" s="406"/>
      <c r="B72" s="406"/>
      <c r="C72" s="406"/>
      <c r="D72" s="406"/>
      <c r="E72" s="406"/>
      <c r="F72" s="406"/>
      <c r="G72" s="401" t="s">
        <v>72</v>
      </c>
      <c r="H72" s="402">
        <f>AVERAGE(H60:H71)</f>
        <v>0.96571356832027</v>
      </c>
    </row>
    <row r="73" spans="1:8" ht="26.25" customHeight="1" x14ac:dyDescent="0.3">
      <c r="C73" s="406"/>
      <c r="D73" s="406"/>
      <c r="E73" s="406"/>
      <c r="F73" s="406"/>
      <c r="G73" s="370" t="s">
        <v>82</v>
      </c>
      <c r="H73" s="403">
        <f>STDEV(H60:H71)/H72</f>
        <v>1.3901496714453369E-2</v>
      </c>
    </row>
    <row r="74" spans="1:8" ht="27" customHeight="1" thickBot="1" x14ac:dyDescent="0.3">
      <c r="A74" s="406"/>
      <c r="B74" s="406"/>
      <c r="C74" s="406"/>
      <c r="D74" s="406"/>
      <c r="E74" s="404"/>
      <c r="F74" s="406"/>
      <c r="G74" s="372" t="s">
        <v>20</v>
      </c>
      <c r="H74" s="405">
        <f>COUNT(H60:H71)</f>
        <v>9</v>
      </c>
    </row>
    <row r="75" spans="1:8" s="109" customFormat="1" ht="19.5" thickBot="1" x14ac:dyDescent="0.25">
      <c r="A75" s="406"/>
      <c r="B75" s="406"/>
      <c r="C75" s="406"/>
      <c r="D75" s="406"/>
      <c r="E75" s="404"/>
      <c r="F75" s="406"/>
      <c r="G75" s="411"/>
      <c r="H75" s="487"/>
    </row>
    <row r="76" spans="1:8" s="109" customFormat="1" ht="26.25" customHeight="1" x14ac:dyDescent="0.2">
      <c r="A76" s="474" t="s">
        <v>119</v>
      </c>
      <c r="B76" s="411" t="s">
        <v>101</v>
      </c>
      <c r="C76" s="512" t="str">
        <f>B20</f>
        <v>Rabeprazole sodium  &amp; Itopride hydrochloride</v>
      </c>
      <c r="D76" s="512"/>
      <c r="E76" s="433" t="s">
        <v>102</v>
      </c>
      <c r="F76" s="433"/>
      <c r="G76" s="480">
        <f>H72</f>
        <v>0.96571356832027</v>
      </c>
      <c r="H76" s="487"/>
    </row>
    <row r="77" spans="1:8" ht="18.75" x14ac:dyDescent="0.25">
      <c r="A77" s="406"/>
      <c r="B77" s="406"/>
      <c r="C77" s="406"/>
      <c r="D77" s="406"/>
      <c r="E77" s="404"/>
      <c r="F77" s="406"/>
      <c r="G77" s="411"/>
      <c r="H77" s="487"/>
    </row>
    <row r="78" spans="1:8" ht="18.75" x14ac:dyDescent="0.3">
      <c r="A78" s="307"/>
      <c r="B78" s="307" t="s">
        <v>103</v>
      </c>
    </row>
    <row r="79" spans="1:8" ht="18.75" x14ac:dyDescent="0.3">
      <c r="A79" s="307"/>
      <c r="B79" s="307"/>
    </row>
    <row r="80" spans="1:8" ht="26.25" customHeight="1" x14ac:dyDescent="0.3">
      <c r="A80" s="474" t="s">
        <v>4</v>
      </c>
      <c r="B80" s="311" t="s">
        <v>122</v>
      </c>
    </row>
    <row r="81" spans="1:11" ht="26.25" customHeight="1" x14ac:dyDescent="0.3">
      <c r="A81" s="411" t="s">
        <v>52</v>
      </c>
      <c r="B81" s="311" t="str">
        <f>B27</f>
        <v>ws-17/15-16</v>
      </c>
    </row>
    <row r="82" spans="1:11" ht="27" customHeight="1" thickBot="1" x14ac:dyDescent="0.35">
      <c r="A82" s="411" t="s">
        <v>6</v>
      </c>
      <c r="B82" s="311">
        <f>B28</f>
        <v>99.34</v>
      </c>
    </row>
    <row r="83" spans="1:11" s="12" customFormat="1" ht="27" customHeight="1" thickBot="1" x14ac:dyDescent="0.35">
      <c r="A83" s="411" t="s">
        <v>53</v>
      </c>
      <c r="B83" s="311">
        <f>B29</f>
        <v>0</v>
      </c>
      <c r="C83" s="509" t="s">
        <v>113</v>
      </c>
      <c r="D83" s="510"/>
      <c r="E83" s="510"/>
      <c r="F83" s="510"/>
      <c r="G83" s="510"/>
      <c r="H83" s="511"/>
      <c r="I83" s="312"/>
      <c r="J83" s="312"/>
      <c r="K83" s="312"/>
    </row>
    <row r="84" spans="1:11" s="12" customFormat="1" ht="19.5" customHeight="1" thickBot="1" x14ac:dyDescent="0.35">
      <c r="A84" s="411" t="s">
        <v>54</v>
      </c>
      <c r="B84" s="487">
        <f>B82-B83</f>
        <v>99.34</v>
      </c>
      <c r="C84" s="314"/>
      <c r="D84" s="314"/>
      <c r="E84" s="314"/>
      <c r="F84" s="314"/>
      <c r="G84" s="314"/>
      <c r="H84" s="315"/>
      <c r="I84" s="312"/>
      <c r="J84" s="312"/>
      <c r="K84" s="312"/>
    </row>
    <row r="85" spans="1:11" s="12" customFormat="1" ht="27" customHeight="1" thickBot="1" x14ac:dyDescent="0.35">
      <c r="A85" s="411" t="s">
        <v>55</v>
      </c>
      <c r="B85" s="316">
        <v>1</v>
      </c>
      <c r="C85" s="497" t="s">
        <v>56</v>
      </c>
      <c r="D85" s="498"/>
      <c r="E85" s="498"/>
      <c r="F85" s="498"/>
      <c r="G85" s="498"/>
      <c r="H85" s="499"/>
      <c r="I85" s="312"/>
      <c r="J85" s="312"/>
      <c r="K85" s="312"/>
    </row>
    <row r="86" spans="1:11" s="12" customFormat="1" ht="27" customHeight="1" thickBot="1" x14ac:dyDescent="0.35">
      <c r="A86" s="411" t="s">
        <v>57</v>
      </c>
      <c r="B86" s="316">
        <v>1</v>
      </c>
      <c r="C86" s="497" t="s">
        <v>58</v>
      </c>
      <c r="D86" s="498"/>
      <c r="E86" s="498"/>
      <c r="F86" s="498"/>
      <c r="G86" s="498"/>
      <c r="H86" s="499"/>
      <c r="I86" s="312"/>
      <c r="J86" s="312"/>
      <c r="K86" s="312"/>
    </row>
    <row r="87" spans="1:11" s="12" customFormat="1" ht="18.75" x14ac:dyDescent="0.3">
      <c r="A87" s="411"/>
      <c r="B87" s="319"/>
      <c r="C87" s="320"/>
      <c r="D87" s="320"/>
      <c r="E87" s="320"/>
      <c r="F87" s="320"/>
      <c r="G87" s="320"/>
      <c r="H87" s="320"/>
      <c r="I87" s="312"/>
      <c r="J87" s="312"/>
      <c r="K87" s="312"/>
    </row>
    <row r="88" spans="1:11" s="12" customFormat="1" ht="18.75" x14ac:dyDescent="0.3">
      <c r="A88" s="411" t="s">
        <v>59</v>
      </c>
      <c r="B88" s="321">
        <f>B85/B86</f>
        <v>1</v>
      </c>
      <c r="C88" s="433" t="s">
        <v>60</v>
      </c>
      <c r="D88" s="433"/>
      <c r="E88" s="433"/>
      <c r="F88" s="433"/>
      <c r="G88" s="433"/>
      <c r="H88" s="322"/>
      <c r="I88" s="312"/>
      <c r="J88" s="312"/>
      <c r="K88" s="312"/>
    </row>
    <row r="89" spans="1:11" ht="19.5" customHeight="1" thickBot="1" x14ac:dyDescent="0.35">
      <c r="A89" s="307"/>
      <c r="B89" s="307"/>
    </row>
    <row r="90" spans="1:11" ht="27" customHeight="1" thickBot="1" x14ac:dyDescent="0.35">
      <c r="A90" s="323" t="s">
        <v>114</v>
      </c>
      <c r="B90" s="324">
        <v>25</v>
      </c>
      <c r="D90" s="482" t="s">
        <v>61</v>
      </c>
      <c r="E90" s="413"/>
      <c r="F90" s="513" t="s">
        <v>62</v>
      </c>
      <c r="G90" s="514"/>
    </row>
    <row r="91" spans="1:11" ht="26.25" customHeight="1" x14ac:dyDescent="0.3">
      <c r="A91" s="325" t="s">
        <v>63</v>
      </c>
      <c r="B91" s="326">
        <v>5</v>
      </c>
      <c r="C91" s="484" t="s">
        <v>64</v>
      </c>
      <c r="D91" s="328" t="s">
        <v>65</v>
      </c>
      <c r="E91" s="329" t="s">
        <v>66</v>
      </c>
      <c r="F91" s="328" t="s">
        <v>65</v>
      </c>
      <c r="G91" s="330" t="s">
        <v>66</v>
      </c>
    </row>
    <row r="92" spans="1:11" ht="26.25" customHeight="1" x14ac:dyDescent="0.3">
      <c r="A92" s="325" t="s">
        <v>67</v>
      </c>
      <c r="B92" s="326">
        <v>50</v>
      </c>
      <c r="C92" s="415">
        <v>1</v>
      </c>
      <c r="D92" s="332">
        <v>47754860</v>
      </c>
      <c r="E92" s="333">
        <f>IF(ISBLANK(D92),"-",$D$102/$D$99*D92)</f>
        <v>50723272.472828262</v>
      </c>
      <c r="F92" s="332">
        <v>50783069</v>
      </c>
      <c r="G92" s="334">
        <f>IF(ISBLANK(F92),"-",$D$102/$F$99*F92)</f>
        <v>50000453.895554155</v>
      </c>
    </row>
    <row r="93" spans="1:11" ht="26.25" customHeight="1" x14ac:dyDescent="0.3">
      <c r="A93" s="325" t="s">
        <v>68</v>
      </c>
      <c r="B93" s="326">
        <v>1</v>
      </c>
      <c r="C93" s="406">
        <v>2</v>
      </c>
      <c r="D93" s="336">
        <v>47869354</v>
      </c>
      <c r="E93" s="337">
        <f>IF(ISBLANK(D93),"-",$D$102/$D$99*D93)</f>
        <v>50844883.348841801</v>
      </c>
      <c r="F93" s="336">
        <v>50709357</v>
      </c>
      <c r="G93" s="338">
        <f>IF(ISBLANK(F93),"-",$D$102/$F$99*F93)</f>
        <v>49927877.867162697</v>
      </c>
    </row>
    <row r="94" spans="1:11" ht="26.25" customHeight="1" x14ac:dyDescent="0.3">
      <c r="A94" s="325" t="s">
        <v>69</v>
      </c>
      <c r="B94" s="326">
        <v>1</v>
      </c>
      <c r="C94" s="406">
        <v>3</v>
      </c>
      <c r="D94" s="336">
        <v>47827036</v>
      </c>
      <c r="E94" s="337">
        <f>IF(ISBLANK(D94),"-",$D$102/$D$99*D94)</f>
        <v>50799934.888213813</v>
      </c>
      <c r="F94" s="336">
        <v>50726689</v>
      </c>
      <c r="G94" s="338">
        <f>IF(ISBLANK(F94),"-",$D$102/$F$99*F94)</f>
        <v>49944942.764656737</v>
      </c>
    </row>
    <row r="95" spans="1:11" ht="26.25" customHeight="1" x14ac:dyDescent="0.3">
      <c r="A95" s="325" t="s">
        <v>70</v>
      </c>
      <c r="B95" s="326">
        <v>1</v>
      </c>
      <c r="C95" s="485">
        <v>4</v>
      </c>
      <c r="D95" s="341"/>
      <c r="E95" s="342" t="str">
        <f>IF(ISBLANK(D95),"-",$D$102/$D$99*D95)</f>
        <v>-</v>
      </c>
      <c r="F95" s="341"/>
      <c r="G95" s="343" t="str">
        <f>IF(ISBLANK(F95),"-",$D$102/$F$99*F95)</f>
        <v>-</v>
      </c>
    </row>
    <row r="96" spans="1:11" ht="27" customHeight="1" thickBot="1" x14ac:dyDescent="0.35">
      <c r="A96" s="325" t="s">
        <v>71</v>
      </c>
      <c r="B96" s="326">
        <v>1</v>
      </c>
      <c r="C96" s="411" t="s">
        <v>72</v>
      </c>
      <c r="D96" s="418">
        <f>AVERAGE(D92:D95)</f>
        <v>47817083.333333336</v>
      </c>
      <c r="E96" s="346">
        <f>AVERAGE(E92:E95)</f>
        <v>50789363.569961287</v>
      </c>
      <c r="F96" s="419">
        <f>AVERAGE(F92:F95)</f>
        <v>50739705</v>
      </c>
      <c r="G96" s="420">
        <f>AVERAGE(G92:G95)</f>
        <v>49957758.175791204</v>
      </c>
    </row>
    <row r="97" spans="1:9" ht="26.25" customHeight="1" x14ac:dyDescent="0.3">
      <c r="A97" s="325" t="s">
        <v>73</v>
      </c>
      <c r="B97" s="311">
        <v>1</v>
      </c>
      <c r="C97" s="350" t="s">
        <v>104</v>
      </c>
      <c r="D97" s="421">
        <v>35.54</v>
      </c>
      <c r="E97" s="433"/>
      <c r="F97" s="353">
        <v>38.340000000000003</v>
      </c>
    </row>
    <row r="98" spans="1:9" ht="26.25" customHeight="1" x14ac:dyDescent="0.3">
      <c r="A98" s="325" t="s">
        <v>74</v>
      </c>
      <c r="B98" s="311">
        <v>1</v>
      </c>
      <c r="C98" s="354" t="s">
        <v>105</v>
      </c>
      <c r="D98" s="355">
        <f>D97*$B$88</f>
        <v>35.54</v>
      </c>
      <c r="E98" s="406"/>
      <c r="F98" s="357">
        <f>F97*$B$88</f>
        <v>38.340000000000003</v>
      </c>
    </row>
    <row r="99" spans="1:9" ht="19.5" customHeight="1" thickBot="1" x14ac:dyDescent="0.35">
      <c r="A99" s="325" t="s">
        <v>75</v>
      </c>
      <c r="B99" s="487">
        <f>(B98/B97)*(B96/B95)*(B94/B93)*(B92/B91)*B90</f>
        <v>250</v>
      </c>
      <c r="C99" s="354" t="s">
        <v>76</v>
      </c>
      <c r="D99" s="359">
        <f>D98*$B$84/100</f>
        <v>35.305436</v>
      </c>
      <c r="E99" s="404"/>
      <c r="F99" s="361">
        <f>F98*$B$84/100</f>
        <v>38.086956000000008</v>
      </c>
    </row>
    <row r="100" spans="1:9" ht="19.5" customHeight="1" thickBot="1" x14ac:dyDescent="0.3">
      <c r="A100" s="515" t="s">
        <v>77</v>
      </c>
      <c r="B100" s="531"/>
      <c r="C100" s="354" t="s">
        <v>78</v>
      </c>
      <c r="D100" s="422">
        <f>D99/$B$99</f>
        <v>0.14122174400000001</v>
      </c>
      <c r="E100" s="404"/>
      <c r="F100" s="423">
        <f>F99/$B$99</f>
        <v>0.15234782400000002</v>
      </c>
      <c r="G100" s="434"/>
      <c r="H100" s="435"/>
    </row>
    <row r="101" spans="1:9" ht="19.5" customHeight="1" thickBot="1" x14ac:dyDescent="0.35">
      <c r="A101" s="517"/>
      <c r="B101" s="532"/>
      <c r="C101" s="354" t="s">
        <v>115</v>
      </c>
      <c r="D101" s="425">
        <v>0.15</v>
      </c>
      <c r="F101" s="364"/>
      <c r="G101" s="429"/>
      <c r="H101" s="435"/>
    </row>
    <row r="102" spans="1:9" ht="18.75" x14ac:dyDescent="0.3">
      <c r="C102" s="354" t="s">
        <v>79</v>
      </c>
      <c r="D102" s="355">
        <f>D101*$B$99</f>
        <v>37.5</v>
      </c>
      <c r="F102" s="364"/>
      <c r="G102" s="434"/>
      <c r="H102" s="435"/>
    </row>
    <row r="103" spans="1:9" ht="19.5" customHeight="1" thickBot="1" x14ac:dyDescent="0.35">
      <c r="C103" s="365" t="s">
        <v>80</v>
      </c>
      <c r="D103" s="427">
        <f>D102/B34</f>
        <v>37.5</v>
      </c>
      <c r="F103" s="367"/>
      <c r="G103" s="434"/>
      <c r="H103" s="435"/>
      <c r="I103" s="428"/>
    </row>
    <row r="104" spans="1:9" ht="18.75" x14ac:dyDescent="0.3">
      <c r="C104" s="368" t="s">
        <v>106</v>
      </c>
      <c r="D104" s="369">
        <f>AVERAGE(E92:E95,G92:G95)</f>
        <v>50373560.872876249</v>
      </c>
      <c r="F104" s="367"/>
      <c r="G104" s="429"/>
      <c r="H104" s="435"/>
      <c r="I104" s="430"/>
    </row>
    <row r="105" spans="1:9" ht="18.75" x14ac:dyDescent="0.3">
      <c r="C105" s="370" t="s">
        <v>82</v>
      </c>
      <c r="D105" s="431">
        <f>STDEV(E92:E95,G92:G95)/D104</f>
        <v>9.0876208710606483E-3</v>
      </c>
      <c r="F105" s="367"/>
      <c r="G105" s="434"/>
      <c r="H105" s="435"/>
      <c r="I105" s="430"/>
    </row>
    <row r="106" spans="1:9" ht="19.5" customHeight="1" thickBot="1" x14ac:dyDescent="0.35">
      <c r="C106" s="372" t="s">
        <v>20</v>
      </c>
      <c r="D106" s="432">
        <f>COUNT(E92:E95,G92:G95)</f>
        <v>6</v>
      </c>
      <c r="F106" s="367"/>
      <c r="G106" s="434"/>
      <c r="H106" s="435"/>
      <c r="I106" s="430"/>
    </row>
    <row r="107" spans="1:9" s="109" customFormat="1" ht="19.5" thickBot="1" x14ac:dyDescent="0.35">
      <c r="A107" s="433"/>
      <c r="B107" s="433"/>
      <c r="C107" s="411"/>
      <c r="D107" s="487"/>
      <c r="E107" s="433"/>
      <c r="F107" s="367"/>
      <c r="G107" s="434"/>
      <c r="H107" s="435"/>
      <c r="I107" s="430"/>
    </row>
    <row r="108" spans="1:9" s="109" customFormat="1" ht="18.75" x14ac:dyDescent="0.3">
      <c r="A108" s="307" t="s">
        <v>128</v>
      </c>
      <c r="B108" s="433"/>
      <c r="C108" s="411"/>
      <c r="D108" s="487"/>
      <c r="E108" s="433"/>
      <c r="F108" s="367"/>
      <c r="G108" s="434"/>
      <c r="H108" s="435"/>
      <c r="I108" s="430"/>
    </row>
    <row r="109" spans="1:9" ht="19.5" customHeight="1" thickBot="1" x14ac:dyDescent="0.35">
      <c r="A109" s="374"/>
      <c r="B109" s="374"/>
      <c r="C109" s="374"/>
      <c r="D109" s="374"/>
      <c r="E109" s="374"/>
    </row>
    <row r="110" spans="1:9" ht="26.25" customHeight="1" x14ac:dyDescent="0.3">
      <c r="A110" s="323" t="s">
        <v>107</v>
      </c>
      <c r="B110" s="324">
        <v>900</v>
      </c>
      <c r="C110" s="482" t="s">
        <v>40</v>
      </c>
      <c r="D110" s="437" t="s">
        <v>65</v>
      </c>
      <c r="E110" s="438" t="s">
        <v>108</v>
      </c>
      <c r="F110" s="439" t="s">
        <v>109</v>
      </c>
    </row>
    <row r="111" spans="1:9" ht="26.25" customHeight="1" x14ac:dyDescent="0.3">
      <c r="A111" s="325" t="s">
        <v>110</v>
      </c>
      <c r="B111" s="326">
        <v>1</v>
      </c>
      <c r="C111" s="440">
        <v>1</v>
      </c>
      <c r="D111" s="441">
        <v>41290833</v>
      </c>
      <c r="E111" s="442">
        <f t="shared" ref="E111:E116" si="1">IF(ISBLANK(D111),"-",D111/$D$104*$D$101*$B$119)</f>
        <v>110.65849541721545</v>
      </c>
      <c r="F111" s="443">
        <f t="shared" ref="F111:F116" si="2">IF(ISBLANK(D111), "-", E111/$B$56)</f>
        <v>0.73772330278143627</v>
      </c>
    </row>
    <row r="112" spans="1:9" ht="26.25" customHeight="1" x14ac:dyDescent="0.3">
      <c r="A112" s="325" t="s">
        <v>89</v>
      </c>
      <c r="B112" s="326">
        <v>1</v>
      </c>
      <c r="C112" s="440">
        <v>2</v>
      </c>
      <c r="D112" s="441">
        <v>38134528</v>
      </c>
      <c r="E112" s="444">
        <f t="shared" si="1"/>
        <v>102.19966964400244</v>
      </c>
      <c r="F112" s="445">
        <f t="shared" si="2"/>
        <v>0.6813311309600163</v>
      </c>
    </row>
    <row r="113" spans="1:9" ht="26.25" customHeight="1" x14ac:dyDescent="0.3">
      <c r="A113" s="325" t="s">
        <v>90</v>
      </c>
      <c r="B113" s="326">
        <v>1</v>
      </c>
      <c r="C113" s="440">
        <v>3</v>
      </c>
      <c r="D113" s="441">
        <v>39871842</v>
      </c>
      <c r="E113" s="444">
        <f t="shared" si="1"/>
        <v>106.85563173871881</v>
      </c>
      <c r="F113" s="445">
        <f t="shared" si="2"/>
        <v>0.7123708782581254</v>
      </c>
    </row>
    <row r="114" spans="1:9" ht="26.25" customHeight="1" x14ac:dyDescent="0.3">
      <c r="A114" s="325" t="s">
        <v>91</v>
      </c>
      <c r="B114" s="326">
        <v>1</v>
      </c>
      <c r="C114" s="440">
        <v>4</v>
      </c>
      <c r="D114" s="441">
        <v>42819237</v>
      </c>
      <c r="E114" s="444">
        <f t="shared" si="1"/>
        <v>114.7545834527766</v>
      </c>
      <c r="F114" s="445">
        <f t="shared" si="2"/>
        <v>0.76503055635184403</v>
      </c>
    </row>
    <row r="115" spans="1:9" ht="26.25" customHeight="1" x14ac:dyDescent="0.3">
      <c r="A115" s="325" t="s">
        <v>92</v>
      </c>
      <c r="B115" s="326">
        <v>1</v>
      </c>
      <c r="C115" s="440">
        <v>5</v>
      </c>
      <c r="D115" s="441">
        <v>40806234</v>
      </c>
      <c r="E115" s="444">
        <f t="shared" si="1"/>
        <v>109.35978109433687</v>
      </c>
      <c r="F115" s="445">
        <f t="shared" si="2"/>
        <v>0.72906520729557911</v>
      </c>
    </row>
    <row r="116" spans="1:9" ht="26.25" customHeight="1" x14ac:dyDescent="0.3">
      <c r="A116" s="325" t="s">
        <v>94</v>
      </c>
      <c r="B116" s="326">
        <v>1</v>
      </c>
      <c r="C116" s="446">
        <v>6</v>
      </c>
      <c r="D116" s="447">
        <v>45033556</v>
      </c>
      <c r="E116" s="448">
        <f t="shared" si="1"/>
        <v>120.68890812270402</v>
      </c>
      <c r="F116" s="449">
        <f t="shared" si="2"/>
        <v>0.8045927208180268</v>
      </c>
    </row>
    <row r="117" spans="1:9" ht="26.25" customHeight="1" x14ac:dyDescent="0.3">
      <c r="A117" s="325" t="s">
        <v>95</v>
      </c>
      <c r="B117" s="326">
        <v>1</v>
      </c>
      <c r="C117" s="440"/>
      <c r="D117" s="406"/>
      <c r="E117" s="433"/>
      <c r="F117" s="450"/>
    </row>
    <row r="118" spans="1:9" ht="26.25" customHeight="1" x14ac:dyDescent="0.3">
      <c r="A118" s="325" t="s">
        <v>96</v>
      </c>
      <c r="B118" s="326">
        <v>1</v>
      </c>
      <c r="C118" s="440"/>
      <c r="D118" s="451"/>
      <c r="E118" s="452" t="s">
        <v>72</v>
      </c>
      <c r="F118" s="453">
        <f>AVERAGE(F111:F116)</f>
        <v>0.73835229941083791</v>
      </c>
    </row>
    <row r="119" spans="1:9" ht="27" customHeight="1" thickBot="1" x14ac:dyDescent="0.35">
      <c r="A119" s="325" t="s">
        <v>97</v>
      </c>
      <c r="B119" s="454">
        <f>(B118/B117)*(B116/B115)*(B114/B113)*(B112/B111)*B110</f>
        <v>900</v>
      </c>
      <c r="C119" s="455"/>
      <c r="D119" s="456"/>
      <c r="E119" s="411" t="s">
        <v>82</v>
      </c>
      <c r="F119" s="457">
        <f>STDEV(F111:F116)/F118</f>
        <v>5.781931089795584E-2</v>
      </c>
    </row>
    <row r="120" spans="1:9" ht="27" customHeight="1" thickBot="1" x14ac:dyDescent="0.35">
      <c r="A120" s="515" t="s">
        <v>77</v>
      </c>
      <c r="B120" s="516"/>
      <c r="C120" s="458"/>
      <c r="D120" s="459"/>
      <c r="E120" s="460" t="s">
        <v>20</v>
      </c>
      <c r="F120" s="461">
        <f>COUNT(F111:F116)</f>
        <v>6</v>
      </c>
      <c r="I120" s="430"/>
    </row>
    <row r="121" spans="1:9" ht="19.5" customHeight="1" thickBot="1" x14ac:dyDescent="0.3">
      <c r="A121" s="517"/>
      <c r="B121" s="518"/>
      <c r="C121" s="433"/>
      <c r="D121" s="433"/>
      <c r="E121" s="433"/>
      <c r="F121" s="406"/>
      <c r="G121" s="433"/>
      <c r="H121" s="433"/>
    </row>
    <row r="122" spans="1:9" ht="18.75" x14ac:dyDescent="0.25">
      <c r="A122" s="320"/>
      <c r="B122" s="320"/>
      <c r="C122" s="433"/>
      <c r="D122" s="433"/>
      <c r="E122" s="433"/>
      <c r="F122" s="406"/>
      <c r="G122" s="433"/>
      <c r="H122" s="433"/>
    </row>
    <row r="123" spans="1:9" ht="26.25" customHeight="1" x14ac:dyDescent="0.25">
      <c r="A123" s="474" t="s">
        <v>100</v>
      </c>
      <c r="B123" s="411" t="s">
        <v>111</v>
      </c>
      <c r="C123" s="512" t="str">
        <f>B20</f>
        <v>Rabeprazole sodium  &amp; Itopride hydrochloride</v>
      </c>
      <c r="D123" s="512"/>
      <c r="E123" s="433" t="s">
        <v>112</v>
      </c>
      <c r="F123" s="433"/>
      <c r="G123" s="480">
        <f>F118</f>
        <v>0.73835229941083791</v>
      </c>
      <c r="H123" s="433"/>
    </row>
    <row r="124" spans="1:9" ht="18.75" x14ac:dyDescent="0.25">
      <c r="A124" s="320"/>
      <c r="B124" s="320"/>
      <c r="C124" s="433"/>
      <c r="D124" s="433"/>
      <c r="E124" s="433"/>
      <c r="F124" s="406"/>
      <c r="G124" s="433"/>
      <c r="H124" s="433"/>
    </row>
    <row r="125" spans="1:9" ht="18.75" x14ac:dyDescent="0.3">
      <c r="A125" s="307" t="s">
        <v>127</v>
      </c>
      <c r="B125" s="307"/>
    </row>
    <row r="126" spans="1:9" ht="19.5" customHeight="1" thickBot="1" x14ac:dyDescent="0.35">
      <c r="A126" s="374"/>
      <c r="B126" s="374"/>
      <c r="C126" s="374"/>
      <c r="D126" s="374"/>
      <c r="E126" s="374"/>
    </row>
    <row r="127" spans="1:9" ht="26.25" customHeight="1" x14ac:dyDescent="0.3">
      <c r="A127" s="323" t="s">
        <v>107</v>
      </c>
      <c r="B127" s="324">
        <v>900</v>
      </c>
      <c r="C127" s="482" t="s">
        <v>40</v>
      </c>
      <c r="D127" s="437" t="s">
        <v>65</v>
      </c>
      <c r="E127" s="438" t="s">
        <v>108</v>
      </c>
      <c r="F127" s="439" t="s">
        <v>109</v>
      </c>
    </row>
    <row r="128" spans="1:9" ht="26.25" customHeight="1" x14ac:dyDescent="0.3">
      <c r="A128" s="325" t="s">
        <v>110</v>
      </c>
      <c r="B128" s="326">
        <v>1</v>
      </c>
      <c r="C128" s="440">
        <v>1</v>
      </c>
      <c r="D128" s="441">
        <v>42073479</v>
      </c>
      <c r="E128" s="462">
        <f t="shared" ref="E128:E133" si="3">IF(ISBLANK(D128),"-",D128/$D$104*$D$101*$B$136)</f>
        <v>112.7559689364419</v>
      </c>
      <c r="F128" s="463">
        <f t="shared" ref="F128:F133" si="4">IF(ISBLANK(D128), "-", E128/$B$56)</f>
        <v>0.75170645957627935</v>
      </c>
    </row>
    <row r="129" spans="1:9" ht="26.25" customHeight="1" x14ac:dyDescent="0.3">
      <c r="A129" s="325" t="s">
        <v>89</v>
      </c>
      <c r="B129" s="326">
        <v>1</v>
      </c>
      <c r="C129" s="440">
        <v>2</v>
      </c>
      <c r="D129" s="441">
        <v>42288469</v>
      </c>
      <c r="E129" s="464">
        <f t="shared" si="3"/>
        <v>113.33213725762222</v>
      </c>
      <c r="F129" s="465">
        <f t="shared" si="4"/>
        <v>0.75554758171748149</v>
      </c>
    </row>
    <row r="130" spans="1:9" ht="26.25" customHeight="1" x14ac:dyDescent="0.3">
      <c r="A130" s="325" t="s">
        <v>90</v>
      </c>
      <c r="B130" s="326">
        <v>1</v>
      </c>
      <c r="C130" s="440">
        <v>3</v>
      </c>
      <c r="D130" s="441">
        <v>43373502</v>
      </c>
      <c r="E130" s="464">
        <f t="shared" si="3"/>
        <v>116.24000107470792</v>
      </c>
      <c r="F130" s="465">
        <f t="shared" si="4"/>
        <v>0.77493334049805285</v>
      </c>
    </row>
    <row r="131" spans="1:9" ht="26.25" customHeight="1" x14ac:dyDescent="0.3">
      <c r="A131" s="325" t="s">
        <v>91</v>
      </c>
      <c r="B131" s="326">
        <v>1</v>
      </c>
      <c r="C131" s="440">
        <v>4</v>
      </c>
      <c r="D131" s="441">
        <v>45290618</v>
      </c>
      <c r="E131" s="464">
        <f t="shared" si="3"/>
        <v>121.37782844913434</v>
      </c>
      <c r="F131" s="465">
        <f t="shared" si="4"/>
        <v>0.80918552299422897</v>
      </c>
    </row>
    <row r="132" spans="1:9" ht="26.25" customHeight="1" x14ac:dyDescent="0.3">
      <c r="A132" s="325" t="s">
        <v>92</v>
      </c>
      <c r="B132" s="326">
        <v>1</v>
      </c>
      <c r="C132" s="440">
        <v>5</v>
      </c>
      <c r="D132" s="441">
        <v>44757501</v>
      </c>
      <c r="E132" s="464">
        <f t="shared" si="3"/>
        <v>119.94908698728639</v>
      </c>
      <c r="F132" s="465">
        <f t="shared" si="4"/>
        <v>0.79966057991524264</v>
      </c>
    </row>
    <row r="133" spans="1:9" ht="26.25" customHeight="1" x14ac:dyDescent="0.3">
      <c r="A133" s="325" t="s">
        <v>94</v>
      </c>
      <c r="B133" s="326">
        <v>1</v>
      </c>
      <c r="C133" s="446">
        <v>6</v>
      </c>
      <c r="D133" s="447">
        <v>46812612</v>
      </c>
      <c r="E133" s="466">
        <f t="shared" si="3"/>
        <v>125.45673783015917</v>
      </c>
      <c r="F133" s="467">
        <f t="shared" si="4"/>
        <v>0.8363782522010611</v>
      </c>
    </row>
    <row r="134" spans="1:9" ht="26.25" customHeight="1" x14ac:dyDescent="0.3">
      <c r="A134" s="325" t="s">
        <v>95</v>
      </c>
      <c r="B134" s="326">
        <v>1</v>
      </c>
      <c r="C134" s="440"/>
      <c r="D134" s="406"/>
      <c r="E134" s="433"/>
      <c r="F134" s="450"/>
    </row>
    <row r="135" spans="1:9" ht="26.25" customHeight="1" x14ac:dyDescent="0.3">
      <c r="A135" s="325" t="s">
        <v>96</v>
      </c>
      <c r="B135" s="326">
        <v>1</v>
      </c>
      <c r="C135" s="440"/>
      <c r="D135" s="451"/>
      <c r="E135" s="452" t="s">
        <v>72</v>
      </c>
      <c r="F135" s="453">
        <f>AVERAGE(F128:F133)</f>
        <v>0.78790195615039105</v>
      </c>
    </row>
    <row r="136" spans="1:9" ht="27" customHeight="1" thickBot="1" x14ac:dyDescent="0.35">
      <c r="A136" s="325" t="s">
        <v>97</v>
      </c>
      <c r="B136" s="326">
        <f>(B135/B134)*(B133/B132)*(B131/B130)*(B129/B128)*B127</f>
        <v>900</v>
      </c>
      <c r="C136" s="455"/>
      <c r="D136" s="433"/>
      <c r="E136" s="468" t="s">
        <v>82</v>
      </c>
      <c r="F136" s="457">
        <f>STDEV(F128:F133)/F135</f>
        <v>4.196526761464052E-2</v>
      </c>
    </row>
    <row r="137" spans="1:9" ht="27" customHeight="1" thickBot="1" x14ac:dyDescent="0.35">
      <c r="A137" s="515" t="s">
        <v>77</v>
      </c>
      <c r="B137" s="516"/>
      <c r="C137" s="458"/>
      <c r="D137" s="469"/>
      <c r="E137" s="470" t="s">
        <v>20</v>
      </c>
      <c r="F137" s="461">
        <f>COUNT(F128:F133)</f>
        <v>6</v>
      </c>
      <c r="I137" s="430"/>
    </row>
    <row r="138" spans="1:9" ht="19.5" customHeight="1" thickBot="1" x14ac:dyDescent="0.3">
      <c r="A138" s="517"/>
      <c r="B138" s="518"/>
      <c r="C138" s="433"/>
      <c r="D138" s="433"/>
      <c r="E138" s="433"/>
      <c r="F138" s="406"/>
      <c r="G138" s="433"/>
      <c r="H138" s="433"/>
    </row>
    <row r="139" spans="1:9" ht="18.75" x14ac:dyDescent="0.25">
      <c r="A139" s="320"/>
      <c r="B139" s="320"/>
      <c r="C139" s="433"/>
      <c r="D139" s="433"/>
      <c r="E139" s="433"/>
      <c r="F139" s="406"/>
      <c r="G139" s="433"/>
      <c r="H139" s="433"/>
    </row>
    <row r="140" spans="1:9" ht="26.25" customHeight="1" x14ac:dyDescent="0.25">
      <c r="A140" s="474" t="s">
        <v>100</v>
      </c>
      <c r="B140" s="411" t="s">
        <v>111</v>
      </c>
      <c r="C140" s="512" t="str">
        <f>B20</f>
        <v>Rabeprazole sodium  &amp; Itopride hydrochloride</v>
      </c>
      <c r="D140" s="512"/>
      <c r="E140" s="433" t="s">
        <v>112</v>
      </c>
      <c r="F140" s="433"/>
      <c r="G140" s="480">
        <f>F135</f>
        <v>0.78790195615039105</v>
      </c>
      <c r="H140" s="433"/>
    </row>
    <row r="141" spans="1:9" ht="19.5" customHeight="1" thickBot="1" x14ac:dyDescent="0.3">
      <c r="A141" s="486"/>
      <c r="B141" s="486"/>
      <c r="C141" s="472"/>
      <c r="D141" s="472"/>
      <c r="E141" s="472"/>
      <c r="F141" s="472"/>
      <c r="G141" s="472"/>
      <c r="H141" s="472"/>
    </row>
    <row r="142" spans="1:9" ht="18.75" x14ac:dyDescent="0.3">
      <c r="B142" s="529" t="s">
        <v>26</v>
      </c>
      <c r="C142" s="529"/>
      <c r="E142" s="484" t="s">
        <v>27</v>
      </c>
      <c r="F142" s="473"/>
      <c r="G142" s="529" t="s">
        <v>28</v>
      </c>
      <c r="H142" s="529"/>
    </row>
    <row r="143" spans="1:9" ht="60" customHeight="1" x14ac:dyDescent="0.3">
      <c r="A143" s="474" t="s">
        <v>29</v>
      </c>
      <c r="B143" s="530"/>
      <c r="C143" s="530"/>
      <c r="E143" s="476"/>
      <c r="F143" s="433"/>
      <c r="G143" s="476"/>
      <c r="H143" s="476"/>
    </row>
    <row r="144" spans="1:9" ht="60" customHeight="1" x14ac:dyDescent="0.3">
      <c r="A144" s="474" t="s">
        <v>30</v>
      </c>
      <c r="B144" s="533"/>
      <c r="C144" s="533"/>
      <c r="E144" s="477"/>
      <c r="F144" s="433"/>
      <c r="G144" s="478"/>
      <c r="H144" s="478"/>
    </row>
    <row r="145" spans="1:8" ht="18.75" x14ac:dyDescent="0.25">
      <c r="A145" s="406"/>
      <c r="B145" s="406"/>
      <c r="C145" s="406"/>
      <c r="D145" s="406"/>
      <c r="E145" s="406"/>
      <c r="F145" s="404"/>
      <c r="G145" s="406"/>
      <c r="H145" s="406"/>
    </row>
    <row r="146" spans="1:8" ht="18.75" x14ac:dyDescent="0.25">
      <c r="A146" s="406"/>
      <c r="B146" s="406"/>
      <c r="C146" s="406"/>
      <c r="D146" s="406"/>
      <c r="E146" s="406"/>
      <c r="F146" s="404"/>
      <c r="G146" s="406"/>
      <c r="H146" s="406"/>
    </row>
    <row r="147" spans="1:8" ht="18.75" x14ac:dyDescent="0.25">
      <c r="A147" s="406"/>
      <c r="B147" s="406"/>
      <c r="C147" s="406"/>
      <c r="D147" s="406"/>
      <c r="E147" s="406"/>
      <c r="F147" s="404"/>
      <c r="G147" s="406"/>
      <c r="H147" s="406"/>
    </row>
    <row r="148" spans="1:8" ht="18.75" x14ac:dyDescent="0.25">
      <c r="A148" s="406"/>
      <c r="B148" s="406"/>
      <c r="C148" s="406"/>
      <c r="D148" s="406"/>
      <c r="E148" s="406"/>
      <c r="F148" s="404"/>
      <c r="G148" s="406"/>
      <c r="H148" s="406"/>
    </row>
    <row r="149" spans="1:8" ht="18.75" x14ac:dyDescent="0.25">
      <c r="A149" s="406"/>
      <c r="B149" s="406"/>
      <c r="C149" s="406"/>
      <c r="D149" s="406"/>
      <c r="E149" s="406"/>
      <c r="F149" s="404"/>
      <c r="G149" s="406"/>
      <c r="H149" s="406"/>
    </row>
    <row r="150" spans="1:8" ht="18.75" x14ac:dyDescent="0.25">
      <c r="A150" s="406"/>
      <c r="B150" s="406"/>
      <c r="C150" s="406"/>
      <c r="D150" s="406"/>
      <c r="E150" s="406"/>
      <c r="F150" s="404"/>
      <c r="G150" s="406"/>
      <c r="H150" s="406"/>
    </row>
    <row r="151" spans="1:8" ht="18.75" x14ac:dyDescent="0.25">
      <c r="A151" s="406"/>
      <c r="B151" s="406"/>
      <c r="C151" s="406"/>
      <c r="D151" s="406"/>
      <c r="E151" s="406"/>
      <c r="F151" s="404"/>
      <c r="G151" s="406"/>
      <c r="H151" s="406"/>
    </row>
    <row r="152" spans="1:8" ht="18.75" x14ac:dyDescent="0.25">
      <c r="A152" s="406"/>
      <c r="B152" s="406"/>
      <c r="C152" s="406"/>
      <c r="D152" s="406"/>
      <c r="E152" s="406"/>
      <c r="F152" s="404"/>
      <c r="G152" s="406"/>
      <c r="H152" s="406"/>
    </row>
    <row r="153" spans="1:8" ht="18.75" x14ac:dyDescent="0.25">
      <c r="A153" s="406"/>
      <c r="B153" s="406"/>
      <c r="C153" s="406"/>
      <c r="D153" s="406"/>
      <c r="E153" s="406"/>
      <c r="F153" s="404"/>
      <c r="G153" s="406"/>
      <c r="H153" s="406"/>
    </row>
    <row r="250" spans="1:1" x14ac:dyDescent="0.3">
      <c r="A250" s="77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7">
    <mergeCell ref="B144:C144"/>
    <mergeCell ref="C123:D123"/>
    <mergeCell ref="A137:B138"/>
    <mergeCell ref="C140:D140"/>
    <mergeCell ref="B142:C142"/>
    <mergeCell ref="G142:H142"/>
    <mergeCell ref="B143:C143"/>
    <mergeCell ref="C83:H83"/>
    <mergeCell ref="C85:H85"/>
    <mergeCell ref="C86:H86"/>
    <mergeCell ref="F90:G90"/>
    <mergeCell ref="A100:B101"/>
    <mergeCell ref="A120:B121"/>
    <mergeCell ref="C76:D76"/>
    <mergeCell ref="C32:H32"/>
    <mergeCell ref="D36:E36"/>
    <mergeCell ref="F36:G36"/>
    <mergeCell ref="A46:B47"/>
    <mergeCell ref="C60:C63"/>
    <mergeCell ref="D60:D63"/>
    <mergeCell ref="C64:C67"/>
    <mergeCell ref="D64:D67"/>
    <mergeCell ref="C68:C71"/>
    <mergeCell ref="D68:D71"/>
    <mergeCell ref="A70:B71"/>
    <mergeCell ref="C31:H31"/>
    <mergeCell ref="A1:H7"/>
    <mergeCell ref="A8:H14"/>
    <mergeCell ref="A16:H16"/>
    <mergeCell ref="A17:H17"/>
    <mergeCell ref="B18:C18"/>
    <mergeCell ref="D18:E18"/>
    <mergeCell ref="B20:C20"/>
    <mergeCell ref="B21:H21"/>
    <mergeCell ref="B26:C26"/>
    <mergeCell ref="B27:C27"/>
    <mergeCell ref="C29:H29"/>
  </mergeCells>
  <conditionalFormatting sqref="D51">
    <cfRule type="cellIs" dxfId="8" priority="1" operator="greaterThan">
      <formula>0.02</formula>
    </cfRule>
  </conditionalFormatting>
  <conditionalFormatting sqref="H73">
    <cfRule type="cellIs" dxfId="7" priority="2" operator="greaterThan">
      <formula>0.02</formula>
    </cfRule>
  </conditionalFormatting>
  <conditionalFormatting sqref="D105">
    <cfRule type="cellIs" dxfId="6" priority="3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2</oddHeader>
    <oddFooter>&amp;LNQCL/ADDO/014&amp;CPage &amp;P of &amp;N&amp;R&amp;D &amp;T</oddFooter>
  </headerFooter>
  <rowBreaks count="1" manualBreakCount="1">
    <brk id="7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view="pageBreakPreview" topLeftCell="A131" zoomScale="55" zoomScaleNormal="55" workbookViewId="0">
      <selection sqref="A1:H147"/>
    </sheetView>
  </sheetViews>
  <sheetFormatPr defaultColWidth="9.140625" defaultRowHeight="15" x14ac:dyDescent="0.3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3.5703125" style="1" customWidth="1"/>
    <col min="6" max="6" width="36" style="1" customWidth="1"/>
    <col min="7" max="7" width="33.140625" style="1" customWidth="1"/>
    <col min="8" max="8" width="29.7109375" style="1" customWidth="1"/>
    <col min="9" max="9" width="29.85546875" style="2" customWidth="1"/>
    <col min="10" max="10" width="34.85546875" style="2" customWidth="1"/>
    <col min="11" max="11" width="9.140625" style="2"/>
  </cols>
  <sheetData>
    <row r="1" spans="1:8" ht="13.5" x14ac:dyDescent="0.25">
      <c r="A1" s="500" t="s">
        <v>49</v>
      </c>
      <c r="B1" s="500"/>
      <c r="C1" s="500"/>
      <c r="D1" s="500"/>
      <c r="E1" s="500"/>
      <c r="F1" s="500"/>
      <c r="G1" s="500"/>
      <c r="H1" s="500"/>
    </row>
    <row r="2" spans="1:8" ht="13.5" x14ac:dyDescent="0.25">
      <c r="A2" s="500"/>
      <c r="B2" s="500"/>
      <c r="C2" s="500"/>
      <c r="D2" s="500"/>
      <c r="E2" s="500"/>
      <c r="F2" s="500"/>
      <c r="G2" s="500"/>
      <c r="H2" s="500"/>
    </row>
    <row r="3" spans="1:8" ht="13.5" x14ac:dyDescent="0.25">
      <c r="A3" s="500"/>
      <c r="B3" s="500"/>
      <c r="C3" s="500"/>
      <c r="D3" s="500"/>
      <c r="E3" s="500"/>
      <c r="F3" s="500"/>
      <c r="G3" s="500"/>
      <c r="H3" s="500"/>
    </row>
    <row r="4" spans="1:8" ht="13.5" x14ac:dyDescent="0.25">
      <c r="A4" s="500"/>
      <c r="B4" s="500"/>
      <c r="C4" s="500"/>
      <c r="D4" s="500"/>
      <c r="E4" s="500"/>
      <c r="F4" s="500"/>
      <c r="G4" s="500"/>
      <c r="H4" s="500"/>
    </row>
    <row r="5" spans="1:8" ht="13.5" x14ac:dyDescent="0.25">
      <c r="A5" s="500"/>
      <c r="B5" s="500"/>
      <c r="C5" s="500"/>
      <c r="D5" s="500"/>
      <c r="E5" s="500"/>
      <c r="F5" s="500"/>
      <c r="G5" s="500"/>
      <c r="H5" s="500"/>
    </row>
    <row r="6" spans="1:8" ht="13.5" x14ac:dyDescent="0.25">
      <c r="A6" s="500"/>
      <c r="B6" s="500"/>
      <c r="C6" s="500"/>
      <c r="D6" s="500"/>
      <c r="E6" s="500"/>
      <c r="F6" s="500"/>
      <c r="G6" s="500"/>
      <c r="H6" s="500"/>
    </row>
    <row r="7" spans="1:8" ht="13.5" x14ac:dyDescent="0.25">
      <c r="A7" s="500"/>
      <c r="B7" s="500"/>
      <c r="C7" s="500"/>
      <c r="D7" s="500"/>
      <c r="E7" s="500"/>
      <c r="F7" s="500"/>
      <c r="G7" s="500"/>
      <c r="H7" s="500"/>
    </row>
    <row r="8" spans="1:8" ht="13.5" x14ac:dyDescent="0.25">
      <c r="A8" s="501" t="s">
        <v>50</v>
      </c>
      <c r="B8" s="501"/>
      <c r="C8" s="501"/>
      <c r="D8" s="501"/>
      <c r="E8" s="501"/>
      <c r="F8" s="501"/>
      <c r="G8" s="501"/>
      <c r="H8" s="501"/>
    </row>
    <row r="9" spans="1:8" ht="13.5" x14ac:dyDescent="0.25">
      <c r="A9" s="501"/>
      <c r="B9" s="501"/>
      <c r="C9" s="501"/>
      <c r="D9" s="501"/>
      <c r="E9" s="501"/>
      <c r="F9" s="501"/>
      <c r="G9" s="501"/>
      <c r="H9" s="501"/>
    </row>
    <row r="10" spans="1:8" ht="13.5" x14ac:dyDescent="0.25">
      <c r="A10" s="501"/>
      <c r="B10" s="501"/>
      <c r="C10" s="501"/>
      <c r="D10" s="501"/>
      <c r="E10" s="501"/>
      <c r="F10" s="501"/>
      <c r="G10" s="501"/>
      <c r="H10" s="501"/>
    </row>
    <row r="11" spans="1:8" ht="13.5" x14ac:dyDescent="0.25">
      <c r="A11" s="501"/>
      <c r="B11" s="501"/>
      <c r="C11" s="501"/>
      <c r="D11" s="501"/>
      <c r="E11" s="501"/>
      <c r="F11" s="501"/>
      <c r="G11" s="501"/>
      <c r="H11" s="501"/>
    </row>
    <row r="12" spans="1:8" ht="13.5" x14ac:dyDescent="0.25">
      <c r="A12" s="501"/>
      <c r="B12" s="501"/>
      <c r="C12" s="501"/>
      <c r="D12" s="501"/>
      <c r="E12" s="501"/>
      <c r="F12" s="501"/>
      <c r="G12" s="501"/>
      <c r="H12" s="501"/>
    </row>
    <row r="13" spans="1:8" ht="13.5" x14ac:dyDescent="0.25">
      <c r="A13" s="501"/>
      <c r="B13" s="501"/>
      <c r="C13" s="501"/>
      <c r="D13" s="501"/>
      <c r="E13" s="501"/>
      <c r="F13" s="501"/>
      <c r="G13" s="501"/>
      <c r="H13" s="501"/>
    </row>
    <row r="14" spans="1:8" ht="13.5" x14ac:dyDescent="0.25">
      <c r="A14" s="501"/>
      <c r="B14" s="501"/>
      <c r="C14" s="501"/>
      <c r="D14" s="501"/>
      <c r="E14" s="501"/>
      <c r="F14" s="501"/>
      <c r="G14" s="501"/>
      <c r="H14" s="501"/>
    </row>
    <row r="15" spans="1:8" ht="19.5" customHeight="1" x14ac:dyDescent="0.3"/>
    <row r="16" spans="1:8" ht="19.5" customHeight="1" x14ac:dyDescent="0.3">
      <c r="A16" s="502" t="s">
        <v>31</v>
      </c>
      <c r="B16" s="503"/>
      <c r="C16" s="503"/>
      <c r="D16" s="503"/>
      <c r="E16" s="503"/>
      <c r="F16" s="503"/>
      <c r="G16" s="503"/>
      <c r="H16" s="504"/>
    </row>
    <row r="17" spans="1:13" ht="20.25" customHeight="1" x14ac:dyDescent="0.25">
      <c r="A17" s="505" t="s">
        <v>51</v>
      </c>
      <c r="B17" s="505"/>
      <c r="C17" s="505"/>
      <c r="D17" s="505"/>
      <c r="E17" s="505"/>
      <c r="F17" s="505"/>
      <c r="G17" s="505"/>
      <c r="H17" s="505"/>
    </row>
    <row r="18" spans="1:13" ht="26.25" customHeight="1" x14ac:dyDescent="0.4">
      <c r="A18" s="126" t="s">
        <v>33</v>
      </c>
      <c r="B18" s="506" t="s">
        <v>5</v>
      </c>
      <c r="C18" s="506"/>
      <c r="D18" s="506" t="s">
        <v>5</v>
      </c>
      <c r="E18" s="506"/>
    </row>
    <row r="19" spans="1:13" ht="26.25" customHeight="1" x14ac:dyDescent="0.4">
      <c r="A19" s="126" t="s">
        <v>34</v>
      </c>
      <c r="B19" s="124" t="s">
        <v>7</v>
      </c>
      <c r="C19" s="125">
        <v>2</v>
      </c>
    </row>
    <row r="20" spans="1:13" ht="26.25" customHeight="1" x14ac:dyDescent="0.4">
      <c r="A20" s="126" t="s">
        <v>35</v>
      </c>
      <c r="B20" s="507" t="s">
        <v>9</v>
      </c>
      <c r="C20" s="507"/>
    </row>
    <row r="21" spans="1:13" ht="26.25" customHeight="1" x14ac:dyDescent="0.4">
      <c r="A21" s="126" t="s">
        <v>36</v>
      </c>
      <c r="B21" s="507" t="s">
        <v>11</v>
      </c>
      <c r="C21" s="507"/>
      <c r="D21" s="507"/>
      <c r="E21" s="507"/>
      <c r="F21" s="507"/>
      <c r="G21" s="507"/>
      <c r="H21" s="507"/>
    </row>
    <row r="22" spans="1:13" ht="26.25" customHeight="1" x14ac:dyDescent="0.3">
      <c r="A22" s="126" t="s">
        <v>37</v>
      </c>
      <c r="B22" s="127"/>
    </row>
    <row r="23" spans="1:13" ht="26.25" customHeight="1" x14ac:dyDescent="0.3">
      <c r="A23" s="126" t="s">
        <v>38</v>
      </c>
      <c r="B23" s="127"/>
    </row>
    <row r="24" spans="1:13" ht="18.75" x14ac:dyDescent="0.3">
      <c r="A24" s="126"/>
      <c r="B24" s="128"/>
    </row>
    <row r="25" spans="1:13" ht="18.75" x14ac:dyDescent="0.3">
      <c r="A25" s="129" t="s">
        <v>1</v>
      </c>
      <c r="B25" s="128"/>
    </row>
    <row r="26" spans="1:13" ht="26.25" customHeight="1" x14ac:dyDescent="0.3">
      <c r="A26" s="130" t="s">
        <v>4</v>
      </c>
      <c r="B26" s="508" t="s">
        <v>124</v>
      </c>
      <c r="C26" s="508"/>
    </row>
    <row r="27" spans="1:13" ht="26.25" customHeight="1" x14ac:dyDescent="0.3">
      <c r="A27" s="131" t="s">
        <v>52</v>
      </c>
      <c r="B27" s="508" t="s">
        <v>123</v>
      </c>
      <c r="C27" s="508"/>
    </row>
    <row r="28" spans="1:13" ht="27" customHeight="1" x14ac:dyDescent="0.3">
      <c r="A28" s="131" t="s">
        <v>6</v>
      </c>
      <c r="B28" s="132">
        <v>99.34</v>
      </c>
    </row>
    <row r="29" spans="1:13" s="12" customFormat="1" ht="15.75" customHeight="1" x14ac:dyDescent="0.3">
      <c r="A29" s="131" t="s">
        <v>53</v>
      </c>
      <c r="B29" s="133">
        <v>0</v>
      </c>
      <c r="C29" s="509" t="s">
        <v>113</v>
      </c>
      <c r="D29" s="510"/>
      <c r="E29" s="510"/>
      <c r="F29" s="510"/>
      <c r="G29" s="510"/>
      <c r="H29" s="511"/>
      <c r="I29" s="134"/>
      <c r="J29" s="134"/>
      <c r="K29" s="134"/>
    </row>
    <row r="30" spans="1:13" s="12" customFormat="1" ht="19.5" customHeight="1" x14ac:dyDescent="0.3">
      <c r="A30" s="131" t="s">
        <v>54</v>
      </c>
      <c r="B30" s="135">
        <f>B28-B29</f>
        <v>99.34</v>
      </c>
      <c r="C30" s="136"/>
      <c r="D30" s="136"/>
      <c r="E30" s="136"/>
      <c r="F30" s="136"/>
      <c r="G30" s="136"/>
      <c r="H30" s="137"/>
      <c r="I30" s="134"/>
      <c r="J30" s="134"/>
      <c r="K30" s="134"/>
    </row>
    <row r="31" spans="1:13" s="12" customFormat="1" ht="27" customHeight="1" x14ac:dyDescent="0.3">
      <c r="A31" s="131" t="s">
        <v>55</v>
      </c>
      <c r="B31" s="138">
        <v>1</v>
      </c>
      <c r="C31" s="497" t="s">
        <v>56</v>
      </c>
      <c r="D31" s="498"/>
      <c r="E31" s="498"/>
      <c r="F31" s="498"/>
      <c r="G31" s="498"/>
      <c r="H31" s="499"/>
      <c r="I31" s="134"/>
      <c r="J31" s="134"/>
      <c r="K31" s="134"/>
    </row>
    <row r="32" spans="1:13" s="12" customFormat="1" ht="27" customHeight="1" x14ac:dyDescent="0.3">
      <c r="A32" s="131" t="s">
        <v>57</v>
      </c>
      <c r="B32" s="138">
        <v>1</v>
      </c>
      <c r="C32" s="497" t="s">
        <v>58</v>
      </c>
      <c r="D32" s="498"/>
      <c r="E32" s="498"/>
      <c r="F32" s="498"/>
      <c r="G32" s="498"/>
      <c r="H32" s="499"/>
      <c r="I32" s="134"/>
      <c r="J32" s="134"/>
      <c r="K32" s="139"/>
      <c r="L32" s="139"/>
      <c r="M32" s="140"/>
    </row>
    <row r="33" spans="1:13" s="12" customFormat="1" ht="17.25" customHeight="1" x14ac:dyDescent="0.3">
      <c r="A33" s="131"/>
      <c r="B33" s="141"/>
      <c r="C33" s="142"/>
      <c r="D33" s="142"/>
      <c r="E33" s="142"/>
      <c r="F33" s="142"/>
      <c r="G33" s="142"/>
      <c r="H33" s="142"/>
      <c r="I33" s="134"/>
      <c r="J33" s="134"/>
      <c r="K33" s="139"/>
      <c r="L33" s="139"/>
      <c r="M33" s="140"/>
    </row>
    <row r="34" spans="1:13" s="12" customFormat="1" ht="18.75" x14ac:dyDescent="0.3">
      <c r="A34" s="131" t="s">
        <v>59</v>
      </c>
      <c r="B34" s="143">
        <f>B31/B32</f>
        <v>1</v>
      </c>
      <c r="C34" s="125" t="s">
        <v>60</v>
      </c>
      <c r="D34" s="125"/>
      <c r="E34" s="125"/>
      <c r="F34" s="125"/>
      <c r="G34" s="125"/>
      <c r="H34" s="144"/>
      <c r="I34" s="134"/>
      <c r="J34" s="134"/>
      <c r="K34" s="139"/>
      <c r="L34" s="139"/>
      <c r="M34" s="140"/>
    </row>
    <row r="35" spans="1:13" s="12" customFormat="1" ht="19.5" customHeight="1" x14ac:dyDescent="0.3">
      <c r="A35" s="131"/>
      <c r="B35" s="135"/>
      <c r="C35" s="144"/>
      <c r="D35" s="144"/>
      <c r="E35" s="144"/>
      <c r="F35" s="144"/>
      <c r="G35" s="125"/>
      <c r="H35" s="144"/>
      <c r="I35" s="134"/>
      <c r="J35" s="134"/>
      <c r="K35" s="139"/>
      <c r="L35" s="139"/>
      <c r="M35" s="140"/>
    </row>
    <row r="36" spans="1:13" s="12" customFormat="1" ht="15.75" customHeight="1" x14ac:dyDescent="0.3">
      <c r="A36" s="145" t="s">
        <v>114</v>
      </c>
      <c r="B36" s="146">
        <v>25</v>
      </c>
      <c r="C36" s="125"/>
      <c r="D36" s="513" t="s">
        <v>61</v>
      </c>
      <c r="E36" s="514"/>
      <c r="F36" s="513" t="s">
        <v>62</v>
      </c>
      <c r="G36" s="514"/>
      <c r="H36" s="144"/>
      <c r="I36" s="134"/>
      <c r="J36" s="134"/>
      <c r="K36" s="139"/>
      <c r="L36" s="139"/>
      <c r="M36" s="140"/>
    </row>
    <row r="37" spans="1:13" s="12" customFormat="1" ht="15.75" customHeight="1" x14ac:dyDescent="0.3">
      <c r="A37" s="147" t="s">
        <v>63</v>
      </c>
      <c r="B37" s="148">
        <v>5</v>
      </c>
      <c r="C37" s="149" t="s">
        <v>64</v>
      </c>
      <c r="D37" s="150" t="s">
        <v>65</v>
      </c>
      <c r="E37" s="151" t="s">
        <v>66</v>
      </c>
      <c r="F37" s="150" t="s">
        <v>65</v>
      </c>
      <c r="G37" s="152" t="s">
        <v>66</v>
      </c>
      <c r="H37" s="144"/>
      <c r="I37" s="134"/>
      <c r="J37" s="134"/>
      <c r="K37" s="139"/>
      <c r="L37" s="139"/>
      <c r="M37" s="140"/>
    </row>
    <row r="38" spans="1:13" s="12" customFormat="1" ht="26.25" customHeight="1" x14ac:dyDescent="0.3">
      <c r="A38" s="147" t="s">
        <v>67</v>
      </c>
      <c r="B38" s="148">
        <v>50</v>
      </c>
      <c r="C38" s="153">
        <v>1</v>
      </c>
      <c r="D38" s="154">
        <v>47754860</v>
      </c>
      <c r="E38" s="155">
        <f>IF(ISBLANK(D38),"-",$D$48/$D$45*D38)</f>
        <v>50723272.472828262</v>
      </c>
      <c r="F38" s="154">
        <v>50783069</v>
      </c>
      <c r="G38" s="156">
        <f>IF(ISBLANK(F38),"-",$D$48/$F$45*F38)</f>
        <v>50000453.895554155</v>
      </c>
      <c r="H38" s="144"/>
      <c r="I38" s="134"/>
      <c r="J38" s="134"/>
      <c r="K38" s="139"/>
      <c r="L38" s="139"/>
      <c r="M38" s="140"/>
    </row>
    <row r="39" spans="1:13" s="12" customFormat="1" ht="26.25" customHeight="1" x14ac:dyDescent="0.3">
      <c r="A39" s="147" t="s">
        <v>68</v>
      </c>
      <c r="B39" s="148">
        <v>1</v>
      </c>
      <c r="C39" s="157">
        <v>2</v>
      </c>
      <c r="D39" s="158">
        <v>47869354</v>
      </c>
      <c r="E39" s="159">
        <f>IF(ISBLANK(D39),"-",$D$48/$D$45*D39)</f>
        <v>50844883.348841801</v>
      </c>
      <c r="F39" s="158">
        <v>50709357</v>
      </c>
      <c r="G39" s="160">
        <f>IF(ISBLANK(F39),"-",$D$48/$F$45*F39)</f>
        <v>49927877.867162697</v>
      </c>
      <c r="H39" s="144"/>
      <c r="I39" s="134"/>
      <c r="J39" s="134"/>
      <c r="K39" s="139"/>
      <c r="L39" s="139"/>
      <c r="M39" s="140"/>
    </row>
    <row r="40" spans="1:13" ht="26.25" customHeight="1" x14ac:dyDescent="0.3">
      <c r="A40" s="147" t="s">
        <v>69</v>
      </c>
      <c r="B40" s="148">
        <v>1</v>
      </c>
      <c r="C40" s="157">
        <v>3</v>
      </c>
      <c r="D40" s="158">
        <v>47827036</v>
      </c>
      <c r="E40" s="159">
        <f>IF(ISBLANK(D40),"-",$D$48/$D$45*D40)</f>
        <v>50799934.888213813</v>
      </c>
      <c r="F40" s="158">
        <v>50726689</v>
      </c>
      <c r="G40" s="160">
        <f>IF(ISBLANK(F40),"-",$D$48/$F$45*F40)</f>
        <v>49944942.764656737</v>
      </c>
      <c r="K40" s="139"/>
      <c r="L40" s="139"/>
      <c r="M40" s="161"/>
    </row>
    <row r="41" spans="1:13" ht="26.25" customHeight="1" x14ac:dyDescent="0.3">
      <c r="A41" s="147" t="s">
        <v>70</v>
      </c>
      <c r="B41" s="148">
        <v>1</v>
      </c>
      <c r="C41" s="162">
        <v>4</v>
      </c>
      <c r="D41" s="163"/>
      <c r="E41" s="164" t="str">
        <f>IF(ISBLANK(D41),"-",$D$48/$D$45*D41)</f>
        <v>-</v>
      </c>
      <c r="F41" s="163"/>
      <c r="G41" s="165" t="str">
        <f>IF(ISBLANK(F41),"-",$D$48/$F$45*F41)</f>
        <v>-</v>
      </c>
      <c r="K41" s="139"/>
      <c r="L41" s="139"/>
      <c r="M41" s="161"/>
    </row>
    <row r="42" spans="1:13" ht="27" customHeight="1" x14ac:dyDescent="0.25">
      <c r="A42" s="147" t="s">
        <v>71</v>
      </c>
      <c r="B42" s="148">
        <v>1</v>
      </c>
      <c r="C42" s="166" t="s">
        <v>72</v>
      </c>
      <c r="D42" s="167">
        <f>AVERAGE(D38:D41)</f>
        <v>47817083.333333336</v>
      </c>
      <c r="E42" s="168">
        <f>AVERAGE(E38:E41)</f>
        <v>50789363.569961287</v>
      </c>
      <c r="F42" s="169">
        <f>AVERAGE(F38:F41)</f>
        <v>50739705</v>
      </c>
      <c r="G42" s="170">
        <f>AVERAGE(G38:G41)</f>
        <v>49957758.175791204</v>
      </c>
      <c r="H42" s="171"/>
    </row>
    <row r="43" spans="1:13" ht="26.25" customHeight="1" x14ac:dyDescent="0.3">
      <c r="A43" s="147" t="s">
        <v>73</v>
      </c>
      <c r="B43" s="132">
        <v>1</v>
      </c>
      <c r="C43" s="172" t="s">
        <v>104</v>
      </c>
      <c r="D43" s="173">
        <v>35.54</v>
      </c>
      <c r="E43" s="174"/>
      <c r="F43" s="175">
        <v>38.340000000000003</v>
      </c>
      <c r="H43" s="171"/>
    </row>
    <row r="44" spans="1:13" ht="26.25" customHeight="1" x14ac:dyDescent="0.3">
      <c r="A44" s="147" t="s">
        <v>74</v>
      </c>
      <c r="B44" s="132">
        <v>1</v>
      </c>
      <c r="C44" s="176" t="s">
        <v>105</v>
      </c>
      <c r="D44" s="177">
        <f>D43*$B$34</f>
        <v>35.54</v>
      </c>
      <c r="E44" s="178"/>
      <c r="F44" s="179">
        <f>F43*$B$34</f>
        <v>38.340000000000003</v>
      </c>
      <c r="H44" s="171"/>
    </row>
    <row r="45" spans="1:13" ht="19.5" customHeight="1" x14ac:dyDescent="0.3">
      <c r="A45" s="147" t="s">
        <v>75</v>
      </c>
      <c r="B45" s="180">
        <f>(B44/B43)*(B42/B41)*(B40/B39)*(B38/B37)*B36</f>
        <v>250</v>
      </c>
      <c r="C45" s="176" t="s">
        <v>76</v>
      </c>
      <c r="D45" s="181">
        <f>D44*$B$30/100</f>
        <v>35.305436</v>
      </c>
      <c r="E45" s="182"/>
      <c r="F45" s="183">
        <f>F44*$B$30/100</f>
        <v>38.086956000000008</v>
      </c>
      <c r="H45" s="171"/>
    </row>
    <row r="46" spans="1:13" ht="19.5" customHeight="1" x14ac:dyDescent="0.3">
      <c r="A46" s="515" t="s">
        <v>77</v>
      </c>
      <c r="B46" s="516"/>
      <c r="C46" s="176" t="s">
        <v>78</v>
      </c>
      <c r="D46" s="177">
        <f>D45/$B$45</f>
        <v>0.14122174400000001</v>
      </c>
      <c r="E46" s="182"/>
      <c r="F46" s="184">
        <f>F45/$B$45</f>
        <v>0.15234782400000002</v>
      </c>
      <c r="H46" s="171"/>
    </row>
    <row r="47" spans="1:13" ht="27" customHeight="1" x14ac:dyDescent="0.3">
      <c r="A47" s="517"/>
      <c r="B47" s="518"/>
      <c r="C47" s="176" t="s">
        <v>115</v>
      </c>
      <c r="D47" s="185">
        <v>0.15</v>
      </c>
      <c r="F47" s="186"/>
      <c r="H47" s="171"/>
    </row>
    <row r="48" spans="1:13" ht="18.75" x14ac:dyDescent="0.3">
      <c r="C48" s="176" t="s">
        <v>79</v>
      </c>
      <c r="D48" s="177">
        <f>D47*$B$45</f>
        <v>37.5</v>
      </c>
      <c r="F48" s="186"/>
      <c r="H48" s="171"/>
    </row>
    <row r="49" spans="1:11" ht="19.5" customHeight="1" x14ac:dyDescent="0.3">
      <c r="C49" s="187" t="s">
        <v>80</v>
      </c>
      <c r="D49" s="188">
        <f>D48/B34</f>
        <v>37.5</v>
      </c>
      <c r="F49" s="189"/>
      <c r="H49" s="171"/>
    </row>
    <row r="50" spans="1:11" ht="18.75" x14ac:dyDescent="0.3">
      <c r="C50" s="190" t="s">
        <v>81</v>
      </c>
      <c r="D50" s="191">
        <f>AVERAGE(E38:E41,G38:G41)</f>
        <v>50373560.872876249</v>
      </c>
      <c r="F50" s="189"/>
      <c r="H50" s="171"/>
    </row>
    <row r="51" spans="1:11" ht="18.75" x14ac:dyDescent="0.3">
      <c r="C51" s="192" t="s">
        <v>82</v>
      </c>
      <c r="D51" s="193">
        <f>STDEV(E38:E41,G38:G41)/D50</f>
        <v>9.0876208710606483E-3</v>
      </c>
      <c r="F51" s="189"/>
    </row>
    <row r="52" spans="1:11" ht="19.5" customHeight="1" x14ac:dyDescent="0.3">
      <c r="C52" s="194" t="s">
        <v>20</v>
      </c>
      <c r="D52" s="195">
        <f>COUNT(E38:E41,G38:G41)</f>
        <v>6</v>
      </c>
      <c r="F52" s="189"/>
    </row>
    <row r="54" spans="1:11" ht="18.75" x14ac:dyDescent="0.3">
      <c r="A54" s="196" t="s">
        <v>1</v>
      </c>
      <c r="B54" s="197" t="s">
        <v>83</v>
      </c>
    </row>
    <row r="55" spans="1:11" ht="18.75" x14ac:dyDescent="0.3">
      <c r="A55" s="125" t="s">
        <v>84</v>
      </c>
      <c r="B55" s="198" t="str">
        <f>B21</f>
        <v>Each hard gelatin capsule contains: Rabeprazole Sodium (enteric coated) 20 mg, 
Itopride hydrochloride (Sustained Release) 150 mg</v>
      </c>
    </row>
    <row r="56" spans="1:11" ht="26.25" customHeight="1" x14ac:dyDescent="0.3">
      <c r="A56" s="199" t="s">
        <v>116</v>
      </c>
      <c r="B56" s="133">
        <v>150</v>
      </c>
      <c r="C56" s="125" t="str">
        <f>B20</f>
        <v>Rabeprazole sodium  &amp; Itopride hydrochloride</v>
      </c>
      <c r="H56" s="200"/>
    </row>
    <row r="57" spans="1:11" ht="18.75" x14ac:dyDescent="0.3">
      <c r="A57" s="198" t="s">
        <v>117</v>
      </c>
      <c r="B57" s="300">
        <f>Uniformity!B47</f>
        <v>356.62599999999998</v>
      </c>
      <c r="H57" s="200"/>
    </row>
    <row r="58" spans="1:11" ht="19.5" customHeight="1" x14ac:dyDescent="0.3">
      <c r="H58" s="200"/>
    </row>
    <row r="59" spans="1:11" s="12" customFormat="1" ht="27" customHeight="1" x14ac:dyDescent="0.3">
      <c r="A59" s="145" t="s">
        <v>118</v>
      </c>
      <c r="B59" s="146">
        <v>100</v>
      </c>
      <c r="C59" s="125"/>
      <c r="D59" s="201" t="s">
        <v>85</v>
      </c>
      <c r="E59" s="202" t="s">
        <v>64</v>
      </c>
      <c r="F59" s="202" t="s">
        <v>65</v>
      </c>
      <c r="G59" s="202" t="s">
        <v>86</v>
      </c>
      <c r="H59" s="149" t="s">
        <v>87</v>
      </c>
      <c r="K59" s="134"/>
    </row>
    <row r="60" spans="1:11" s="12" customFormat="1" ht="26.25" customHeight="1" x14ac:dyDescent="0.3">
      <c r="A60" s="147" t="s">
        <v>110</v>
      </c>
      <c r="B60" s="148">
        <v>5</v>
      </c>
      <c r="C60" s="519" t="s">
        <v>88</v>
      </c>
      <c r="D60" s="522">
        <v>353.81</v>
      </c>
      <c r="E60" s="203">
        <v>1</v>
      </c>
      <c r="F60" s="204">
        <v>47493304</v>
      </c>
      <c r="G60" s="205">
        <f>IF(ISBLANK(F60),"-",(F60/$D$50*$D$47*$B$68)*($B$57/$D$60))</f>
        <v>142.54890629714296</v>
      </c>
      <c r="H60" s="206">
        <f t="shared" ref="H60:H71" si="0">IF(ISBLANK(F60),"-",G60/$B$56)</f>
        <v>0.95032604198095305</v>
      </c>
      <c r="K60" s="134"/>
    </row>
    <row r="61" spans="1:11" s="12" customFormat="1" ht="26.25" customHeight="1" x14ac:dyDescent="0.3">
      <c r="A61" s="147" t="s">
        <v>89</v>
      </c>
      <c r="B61" s="148">
        <v>50</v>
      </c>
      <c r="C61" s="520"/>
      <c r="D61" s="523"/>
      <c r="E61" s="207">
        <v>2</v>
      </c>
      <c r="F61" s="158">
        <v>47648384</v>
      </c>
      <c r="G61" s="208">
        <f>IF(ISBLANK(F61),"-",(F61/$D$50*$D$47*$B$68)*($B$57/$D$60))</f>
        <v>143.0143715843877</v>
      </c>
      <c r="H61" s="209">
        <f t="shared" si="0"/>
        <v>0.95342914389591804</v>
      </c>
      <c r="K61" s="134"/>
    </row>
    <row r="62" spans="1:11" s="12" customFormat="1" ht="26.25" customHeight="1" x14ac:dyDescent="0.3">
      <c r="A62" s="147" t="s">
        <v>90</v>
      </c>
      <c r="B62" s="148">
        <v>1</v>
      </c>
      <c r="C62" s="520"/>
      <c r="D62" s="523"/>
      <c r="E62" s="207">
        <v>3</v>
      </c>
      <c r="F62" s="158">
        <v>47584161</v>
      </c>
      <c r="G62" s="208">
        <f>IF(ISBLANK(F62),"-",(F62/$D$50*$D$47*$B$68)*($B$57/$D$60))</f>
        <v>142.82160928658837</v>
      </c>
      <c r="H62" s="209">
        <f t="shared" si="0"/>
        <v>0.95214406191058909</v>
      </c>
      <c r="K62" s="134"/>
    </row>
    <row r="63" spans="1:11" ht="27" customHeight="1" x14ac:dyDescent="0.25">
      <c r="A63" s="147" t="s">
        <v>91</v>
      </c>
      <c r="B63" s="148">
        <v>1</v>
      </c>
      <c r="C63" s="521"/>
      <c r="D63" s="524"/>
      <c r="E63" s="210">
        <v>4</v>
      </c>
      <c r="F63" s="211"/>
      <c r="G63" s="208" t="str">
        <f>IF(ISBLANK(F63),"-",(F63/$D$50*$D$47*$B$68)*($B$57/$D$60))</f>
        <v>-</v>
      </c>
      <c r="H63" s="209" t="str">
        <f t="shared" si="0"/>
        <v>-</v>
      </c>
    </row>
    <row r="64" spans="1:11" ht="26.25" customHeight="1" x14ac:dyDescent="0.25">
      <c r="A64" s="147" t="s">
        <v>92</v>
      </c>
      <c r="B64" s="148">
        <v>1</v>
      </c>
      <c r="C64" s="519" t="s">
        <v>93</v>
      </c>
      <c r="D64" s="522">
        <v>346.51</v>
      </c>
      <c r="E64" s="203">
        <v>1</v>
      </c>
      <c r="F64" s="204">
        <v>48041811</v>
      </c>
      <c r="G64" s="212">
        <f>IF(ISBLANK(F64),"-",(F64/$D$50*$D$47*$B$68)*($B$57/$D$64))</f>
        <v>147.23301563209611</v>
      </c>
      <c r="H64" s="213">
        <f t="shared" si="0"/>
        <v>0.98155343754730739</v>
      </c>
    </row>
    <row r="65" spans="1:8" ht="26.25" customHeight="1" x14ac:dyDescent="0.25">
      <c r="A65" s="147" t="s">
        <v>94</v>
      </c>
      <c r="B65" s="148">
        <v>1</v>
      </c>
      <c r="C65" s="520"/>
      <c r="D65" s="523"/>
      <c r="E65" s="207">
        <v>2</v>
      </c>
      <c r="F65" s="158">
        <v>48068907</v>
      </c>
      <c r="G65" s="214">
        <f>IF(ISBLANK(F65),"-",(F65/$D$50*$D$47*$B$68)*($B$57/$D$64))</f>
        <v>147.31605633577752</v>
      </c>
      <c r="H65" s="215">
        <f t="shared" si="0"/>
        <v>0.98210704223851675</v>
      </c>
    </row>
    <row r="66" spans="1:8" ht="26.25" customHeight="1" x14ac:dyDescent="0.25">
      <c r="A66" s="147" t="s">
        <v>95</v>
      </c>
      <c r="B66" s="148">
        <v>1</v>
      </c>
      <c r="C66" s="520"/>
      <c r="D66" s="523"/>
      <c r="E66" s="207">
        <v>3</v>
      </c>
      <c r="F66" s="158">
        <v>48130369</v>
      </c>
      <c r="G66" s="214">
        <f>IF(ISBLANK(F66),"-",(F66/$D$50*$D$47*$B$68)*($B$57/$D$64))</f>
        <v>147.50441800280083</v>
      </c>
      <c r="H66" s="215">
        <f t="shared" si="0"/>
        <v>0.98336278668533883</v>
      </c>
    </row>
    <row r="67" spans="1:8" ht="27" customHeight="1" x14ac:dyDescent="0.25">
      <c r="A67" s="147" t="s">
        <v>96</v>
      </c>
      <c r="B67" s="148">
        <v>1</v>
      </c>
      <c r="C67" s="521"/>
      <c r="D67" s="524"/>
      <c r="E67" s="210">
        <v>4</v>
      </c>
      <c r="F67" s="211"/>
      <c r="G67" s="216" t="str">
        <f>IF(ISBLANK(F67),"-",(F67/$D$50*$D$47*$B$68)*($B$57/$D$64))</f>
        <v>-</v>
      </c>
      <c r="H67" s="217" t="str">
        <f t="shared" si="0"/>
        <v>-</v>
      </c>
    </row>
    <row r="68" spans="1:8" ht="26.25" customHeight="1" x14ac:dyDescent="0.25">
      <c r="A68" s="147" t="s">
        <v>97</v>
      </c>
      <c r="B68" s="218">
        <f>(B67/B66)*(B65/B64)*(B63/B62)*(B61/B60)*B59</f>
        <v>1000</v>
      </c>
      <c r="C68" s="519" t="s">
        <v>98</v>
      </c>
      <c r="D68" s="522">
        <v>331.49</v>
      </c>
      <c r="E68" s="203">
        <v>1</v>
      </c>
      <c r="F68" s="204">
        <v>45149607</v>
      </c>
      <c r="G68" s="212">
        <f>IF(ISBLANK(F68),"-",(F68/$D$50*$D$47*$B$68)*($B$57/$D$68))</f>
        <v>144.63891400608179</v>
      </c>
      <c r="H68" s="209">
        <f t="shared" si="0"/>
        <v>0.96425942670721199</v>
      </c>
    </row>
    <row r="69" spans="1:8" ht="27" customHeight="1" x14ac:dyDescent="0.25">
      <c r="A69" s="219" t="s">
        <v>99</v>
      </c>
      <c r="B69" s="302">
        <f>(D47*B68)/B56*B57</f>
        <v>356.62599999999998</v>
      </c>
      <c r="C69" s="520"/>
      <c r="D69" s="523"/>
      <c r="E69" s="207">
        <v>2</v>
      </c>
      <c r="F69" s="158">
        <v>45158837</v>
      </c>
      <c r="G69" s="214">
        <f>IF(ISBLANK(F69),"-",(F69/$D$50*$D$47*$B$68)*($B$57/$D$68))</f>
        <v>144.6684827501968</v>
      </c>
      <c r="H69" s="209">
        <f t="shared" si="0"/>
        <v>0.96445655166797872</v>
      </c>
    </row>
    <row r="70" spans="1:8" ht="26.25" customHeight="1" x14ac:dyDescent="0.25">
      <c r="A70" s="525" t="s">
        <v>77</v>
      </c>
      <c r="B70" s="526"/>
      <c r="C70" s="520"/>
      <c r="D70" s="523"/>
      <c r="E70" s="207">
        <v>3</v>
      </c>
      <c r="F70" s="158">
        <v>44940036</v>
      </c>
      <c r="G70" s="214">
        <f>IF(ISBLANK(F70),"-",(F70/$D$50*$D$47*$B$68)*($B$57/$D$68))</f>
        <v>143.96754333729237</v>
      </c>
      <c r="H70" s="209">
        <f t="shared" si="0"/>
        <v>0.9597836222486158</v>
      </c>
    </row>
    <row r="71" spans="1:8" ht="27" customHeight="1" x14ac:dyDescent="0.25">
      <c r="A71" s="527"/>
      <c r="B71" s="528"/>
      <c r="C71" s="521"/>
      <c r="D71" s="524"/>
      <c r="E71" s="210">
        <v>4</v>
      </c>
      <c r="F71" s="211"/>
      <c r="G71" s="216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25">
      <c r="A72" s="221"/>
      <c r="B72" s="221"/>
      <c r="C72" s="221"/>
      <c r="D72" s="221"/>
      <c r="E72" s="221"/>
      <c r="F72" s="222"/>
      <c r="G72" s="223" t="s">
        <v>72</v>
      </c>
      <c r="H72" s="224">
        <f>AVERAGE(H60:H71)</f>
        <v>0.96571356832027</v>
      </c>
    </row>
    <row r="73" spans="1:8" ht="26.25" customHeight="1" x14ac:dyDescent="0.3">
      <c r="C73" s="221"/>
      <c r="D73" s="221"/>
      <c r="E73" s="221"/>
      <c r="F73" s="222"/>
      <c r="G73" s="192" t="s">
        <v>82</v>
      </c>
      <c r="H73" s="225">
        <f>STDEV(H60:H71)/H72</f>
        <v>1.3901496714453369E-2</v>
      </c>
    </row>
    <row r="74" spans="1:8" ht="27" customHeight="1" x14ac:dyDescent="0.25">
      <c r="A74" s="221"/>
      <c r="B74" s="221"/>
      <c r="C74" s="222"/>
      <c r="D74" s="222"/>
      <c r="E74" s="226"/>
      <c r="F74" s="222"/>
      <c r="G74" s="194" t="s">
        <v>20</v>
      </c>
      <c r="H74" s="227">
        <f>COUNT(H60:H71)</f>
        <v>9</v>
      </c>
    </row>
    <row r="75" spans="1:8" s="52" customFormat="1" ht="18.75" x14ac:dyDescent="0.2">
      <c r="A75" s="228"/>
      <c r="B75" s="228"/>
      <c r="C75" s="178"/>
      <c r="D75" s="178"/>
      <c r="E75" s="182"/>
      <c r="F75" s="178"/>
      <c r="G75" s="229"/>
      <c r="H75" s="230"/>
    </row>
    <row r="76" spans="1:8" s="52" customFormat="1" ht="26.25" customHeight="1" x14ac:dyDescent="0.2">
      <c r="A76" s="130" t="s">
        <v>119</v>
      </c>
      <c r="B76" s="231" t="s">
        <v>101</v>
      </c>
      <c r="C76" s="512" t="str">
        <f>B20</f>
        <v>Rabeprazole sodium  &amp; Itopride hydrochloride</v>
      </c>
      <c r="D76" s="512"/>
      <c r="E76" s="232" t="s">
        <v>102</v>
      </c>
      <c r="F76" s="232"/>
      <c r="G76" s="301">
        <f>H72</f>
        <v>0.96571356832027</v>
      </c>
      <c r="H76" s="230"/>
    </row>
    <row r="77" spans="1:8" ht="18.75" x14ac:dyDescent="0.25">
      <c r="A77" s="221"/>
      <c r="B77" s="221"/>
      <c r="C77" s="222"/>
      <c r="D77" s="222"/>
      <c r="E77" s="226"/>
      <c r="F77" s="222"/>
      <c r="G77" s="233"/>
      <c r="H77" s="230"/>
    </row>
    <row r="78" spans="1:8" ht="18.75" x14ac:dyDescent="0.3">
      <c r="A78" s="129"/>
      <c r="B78" s="129" t="s">
        <v>103</v>
      </c>
    </row>
    <row r="79" spans="1:8" ht="18.75" x14ac:dyDescent="0.3">
      <c r="A79" s="129"/>
      <c r="B79" s="129"/>
    </row>
    <row r="80" spans="1:8" ht="26.25" customHeight="1" x14ac:dyDescent="0.3">
      <c r="A80" s="130" t="s">
        <v>4</v>
      </c>
      <c r="B80" s="133" t="s">
        <v>122</v>
      </c>
    </row>
    <row r="81" spans="1:11" ht="26.25" customHeight="1" x14ac:dyDescent="0.3">
      <c r="A81" s="131" t="s">
        <v>52</v>
      </c>
      <c r="B81" s="133" t="str">
        <f>B27</f>
        <v>ws-17/15-16</v>
      </c>
    </row>
    <row r="82" spans="1:11" ht="27" customHeight="1" x14ac:dyDescent="0.3">
      <c r="A82" s="131" t="s">
        <v>6</v>
      </c>
      <c r="B82" s="133">
        <f>B28</f>
        <v>99.34</v>
      </c>
    </row>
    <row r="83" spans="1:11" s="12" customFormat="1" ht="27" customHeight="1" x14ac:dyDescent="0.3">
      <c r="A83" s="131" t="s">
        <v>53</v>
      </c>
      <c r="B83" s="133">
        <f>B29</f>
        <v>0</v>
      </c>
      <c r="C83" s="509" t="s">
        <v>113</v>
      </c>
      <c r="D83" s="510"/>
      <c r="E83" s="510"/>
      <c r="F83" s="510"/>
      <c r="G83" s="510"/>
      <c r="H83" s="511"/>
      <c r="I83" s="134"/>
      <c r="J83" s="134"/>
      <c r="K83" s="134"/>
    </row>
    <row r="84" spans="1:11" s="12" customFormat="1" ht="19.5" customHeight="1" x14ac:dyDescent="0.3">
      <c r="A84" s="131" t="s">
        <v>54</v>
      </c>
      <c r="B84" s="135">
        <f>B82-B83</f>
        <v>99.34</v>
      </c>
      <c r="C84" s="136"/>
      <c r="D84" s="136"/>
      <c r="E84" s="136"/>
      <c r="F84" s="136"/>
      <c r="G84" s="136"/>
      <c r="H84" s="137"/>
      <c r="I84" s="134"/>
      <c r="J84" s="134"/>
      <c r="K84" s="134"/>
    </row>
    <row r="85" spans="1:11" s="12" customFormat="1" ht="27" customHeight="1" x14ac:dyDescent="0.3">
      <c r="A85" s="131" t="s">
        <v>55</v>
      </c>
      <c r="B85" s="138">
        <v>1</v>
      </c>
      <c r="C85" s="497" t="s">
        <v>56</v>
      </c>
      <c r="D85" s="498"/>
      <c r="E85" s="498"/>
      <c r="F85" s="498"/>
      <c r="G85" s="498"/>
      <c r="H85" s="499"/>
      <c r="I85" s="134"/>
      <c r="J85" s="134"/>
      <c r="K85" s="134"/>
    </row>
    <row r="86" spans="1:11" s="12" customFormat="1" ht="27" customHeight="1" x14ac:dyDescent="0.3">
      <c r="A86" s="131" t="s">
        <v>57</v>
      </c>
      <c r="B86" s="138">
        <v>1</v>
      </c>
      <c r="C86" s="497" t="s">
        <v>58</v>
      </c>
      <c r="D86" s="498"/>
      <c r="E86" s="498"/>
      <c r="F86" s="498"/>
      <c r="G86" s="498"/>
      <c r="H86" s="499"/>
      <c r="I86" s="134"/>
      <c r="J86" s="134"/>
      <c r="K86" s="134"/>
    </row>
    <row r="87" spans="1:11" s="12" customFormat="1" ht="18.75" x14ac:dyDescent="0.3">
      <c r="A87" s="131"/>
      <c r="B87" s="141"/>
      <c r="C87" s="142"/>
      <c r="D87" s="142"/>
      <c r="E87" s="142"/>
      <c r="F87" s="142"/>
      <c r="G87" s="142"/>
      <c r="H87" s="142"/>
      <c r="I87" s="134"/>
      <c r="J87" s="134"/>
      <c r="K87" s="134"/>
    </row>
    <row r="88" spans="1:11" s="12" customFormat="1" ht="18.75" x14ac:dyDescent="0.3">
      <c r="A88" s="131" t="s">
        <v>59</v>
      </c>
      <c r="B88" s="143">
        <f>B85/B86</f>
        <v>1</v>
      </c>
      <c r="C88" s="125" t="s">
        <v>60</v>
      </c>
      <c r="D88" s="125"/>
      <c r="E88" s="125"/>
      <c r="F88" s="125"/>
      <c r="G88" s="125"/>
      <c r="H88" s="144"/>
      <c r="I88" s="134"/>
      <c r="J88" s="134"/>
      <c r="K88" s="134"/>
    </row>
    <row r="89" spans="1:11" ht="19.5" customHeight="1" x14ac:dyDescent="0.3">
      <c r="A89" s="129"/>
      <c r="B89" s="129"/>
    </row>
    <row r="90" spans="1:11" ht="27" customHeight="1" x14ac:dyDescent="0.3">
      <c r="A90" s="145" t="s">
        <v>114</v>
      </c>
      <c r="B90" s="146">
        <v>25</v>
      </c>
      <c r="D90" s="234" t="s">
        <v>61</v>
      </c>
      <c r="E90" s="235"/>
      <c r="F90" s="513" t="s">
        <v>62</v>
      </c>
      <c r="G90" s="514"/>
    </row>
    <row r="91" spans="1:11" ht="26.25" customHeight="1" x14ac:dyDescent="0.3">
      <c r="A91" s="147" t="s">
        <v>63</v>
      </c>
      <c r="B91" s="148">
        <v>5</v>
      </c>
      <c r="C91" s="236" t="s">
        <v>64</v>
      </c>
      <c r="D91" s="150" t="s">
        <v>65</v>
      </c>
      <c r="E91" s="151" t="s">
        <v>66</v>
      </c>
      <c r="F91" s="150" t="s">
        <v>65</v>
      </c>
      <c r="G91" s="152" t="s">
        <v>66</v>
      </c>
    </row>
    <row r="92" spans="1:11" ht="26.25" customHeight="1" x14ac:dyDescent="0.3">
      <c r="A92" s="147" t="s">
        <v>67</v>
      </c>
      <c r="B92" s="148">
        <v>50</v>
      </c>
      <c r="C92" s="237">
        <v>1</v>
      </c>
      <c r="D92" s="332">
        <v>47754860</v>
      </c>
      <c r="E92" s="155">
        <f>IF(ISBLANK(D92),"-",$D$102/$D$99*D92)</f>
        <v>50723272.472828262</v>
      </c>
      <c r="F92" s="332">
        <v>50783069</v>
      </c>
      <c r="G92" s="156">
        <f>IF(ISBLANK(F92),"-",$D$102/$F$99*F92)</f>
        <v>50000453.895554155</v>
      </c>
    </row>
    <row r="93" spans="1:11" ht="26.25" customHeight="1" x14ac:dyDescent="0.3">
      <c r="A93" s="147" t="s">
        <v>68</v>
      </c>
      <c r="B93" s="148">
        <v>1</v>
      </c>
      <c r="C93" s="222">
        <v>2</v>
      </c>
      <c r="D93" s="336">
        <v>47869354</v>
      </c>
      <c r="E93" s="159">
        <f>IF(ISBLANK(D93),"-",$D$102/$D$99*D93)</f>
        <v>50844883.348841801</v>
      </c>
      <c r="F93" s="336">
        <v>50709357</v>
      </c>
      <c r="G93" s="160">
        <f>IF(ISBLANK(F93),"-",$D$102/$F$99*F93)</f>
        <v>49927877.867162697</v>
      </c>
    </row>
    <row r="94" spans="1:11" ht="26.25" customHeight="1" x14ac:dyDescent="0.3">
      <c r="A94" s="147" t="s">
        <v>69</v>
      </c>
      <c r="B94" s="148">
        <v>1</v>
      </c>
      <c r="C94" s="222">
        <v>3</v>
      </c>
      <c r="D94" s="336">
        <v>47827036</v>
      </c>
      <c r="E94" s="159">
        <f>IF(ISBLANK(D94),"-",$D$102/$D$99*D94)</f>
        <v>50799934.888213813</v>
      </c>
      <c r="F94" s="336">
        <v>50726689</v>
      </c>
      <c r="G94" s="160">
        <f>IF(ISBLANK(F94),"-",$D$102/$F$99*F94)</f>
        <v>49944942.764656737</v>
      </c>
    </row>
    <row r="95" spans="1:11" ht="26.25" customHeight="1" x14ac:dyDescent="0.3">
      <c r="A95" s="147" t="s">
        <v>70</v>
      </c>
      <c r="B95" s="148">
        <v>1</v>
      </c>
      <c r="C95" s="238">
        <v>4</v>
      </c>
      <c r="D95" s="341"/>
      <c r="E95" s="164" t="str">
        <f>IF(ISBLANK(D95),"-",$D$102/$D$99*D95)</f>
        <v>-</v>
      </c>
      <c r="F95" s="341"/>
      <c r="G95" s="165" t="str">
        <f>IF(ISBLANK(F95),"-",$D$102/$F$99*F95)</f>
        <v>-</v>
      </c>
    </row>
    <row r="96" spans="1:11" ht="27" customHeight="1" x14ac:dyDescent="0.3">
      <c r="A96" s="147" t="s">
        <v>71</v>
      </c>
      <c r="B96" s="148">
        <v>1</v>
      </c>
      <c r="C96" s="233" t="s">
        <v>72</v>
      </c>
      <c r="D96" s="239">
        <f>AVERAGE(D92:D95)</f>
        <v>47817083.333333336</v>
      </c>
      <c r="E96" s="168">
        <f>AVERAGE(E92:E95)</f>
        <v>50789363.569961287</v>
      </c>
      <c r="F96" s="240">
        <f>AVERAGE(F92:F95)</f>
        <v>50739705</v>
      </c>
      <c r="G96" s="241">
        <f>AVERAGE(G92:G95)</f>
        <v>49957758.175791204</v>
      </c>
    </row>
    <row r="97" spans="1:9" ht="26.25" customHeight="1" x14ac:dyDescent="0.3">
      <c r="A97" s="147" t="s">
        <v>73</v>
      </c>
      <c r="B97" s="132">
        <v>1</v>
      </c>
      <c r="C97" s="172" t="s">
        <v>104</v>
      </c>
      <c r="D97" s="242">
        <v>35.54</v>
      </c>
      <c r="E97" s="174"/>
      <c r="F97" s="175">
        <v>38.340000000000003</v>
      </c>
    </row>
    <row r="98" spans="1:9" ht="26.25" customHeight="1" x14ac:dyDescent="0.3">
      <c r="A98" s="147" t="s">
        <v>74</v>
      </c>
      <c r="B98" s="132">
        <v>1</v>
      </c>
      <c r="C98" s="176" t="s">
        <v>105</v>
      </c>
      <c r="D98" s="177">
        <f>D97*$B$88</f>
        <v>35.54</v>
      </c>
      <c r="E98" s="178"/>
      <c r="F98" s="179">
        <f>F97*$B$88</f>
        <v>38.340000000000003</v>
      </c>
    </row>
    <row r="99" spans="1:9" ht="19.5" customHeight="1" x14ac:dyDescent="0.3">
      <c r="A99" s="147" t="s">
        <v>75</v>
      </c>
      <c r="B99" s="180">
        <f>(B98/B97)*(B96/B95)*(B94/B93)*(B92/B91)*B90</f>
        <v>250</v>
      </c>
      <c r="C99" s="176" t="s">
        <v>76</v>
      </c>
      <c r="D99" s="181">
        <f>D98*$B$84/100</f>
        <v>35.305436</v>
      </c>
      <c r="E99" s="182"/>
      <c r="F99" s="183">
        <f>F98*$B$84/100</f>
        <v>38.086956000000008</v>
      </c>
    </row>
    <row r="100" spans="1:9" ht="19.5" customHeight="1" x14ac:dyDescent="0.25">
      <c r="A100" s="515" t="s">
        <v>77</v>
      </c>
      <c r="B100" s="531"/>
      <c r="C100" s="176" t="s">
        <v>78</v>
      </c>
      <c r="D100" s="243">
        <f>D99/$B$99</f>
        <v>0.14122174400000001</v>
      </c>
      <c r="E100" s="182"/>
      <c r="F100" s="244">
        <f>F99/$B$99</f>
        <v>0.15234782400000002</v>
      </c>
      <c r="G100" s="245"/>
      <c r="H100" s="171"/>
    </row>
    <row r="101" spans="1:9" ht="19.5" customHeight="1" x14ac:dyDescent="0.3">
      <c r="A101" s="517"/>
      <c r="B101" s="532"/>
      <c r="C101" s="176" t="s">
        <v>115</v>
      </c>
      <c r="D101" s="246">
        <v>0.15</v>
      </c>
      <c r="F101" s="186"/>
      <c r="G101" s="247"/>
      <c r="H101" s="171"/>
    </row>
    <row r="102" spans="1:9" ht="18.75" x14ac:dyDescent="0.3">
      <c r="C102" s="176" t="s">
        <v>79</v>
      </c>
      <c r="D102" s="177">
        <f>D101*$B$99</f>
        <v>37.5</v>
      </c>
      <c r="F102" s="186"/>
      <c r="G102" s="245"/>
      <c r="H102" s="171"/>
    </row>
    <row r="103" spans="1:9" ht="19.5" customHeight="1" x14ac:dyDescent="0.3">
      <c r="C103" s="187" t="s">
        <v>80</v>
      </c>
      <c r="D103" s="248">
        <f>D102/B34</f>
        <v>37.5</v>
      </c>
      <c r="F103" s="189"/>
      <c r="G103" s="245"/>
      <c r="H103" s="171"/>
      <c r="I103" s="249"/>
    </row>
    <row r="104" spans="1:9" ht="18.75" x14ac:dyDescent="0.3">
      <c r="C104" s="190" t="s">
        <v>106</v>
      </c>
      <c r="D104" s="191">
        <f>AVERAGE(E92:E95,G92:G95)</f>
        <v>50373560.872876249</v>
      </c>
      <c r="F104" s="189"/>
      <c r="G104" s="250"/>
      <c r="H104" s="171"/>
      <c r="I104" s="251"/>
    </row>
    <row r="105" spans="1:9" ht="18.75" x14ac:dyDescent="0.3">
      <c r="C105" s="192" t="s">
        <v>82</v>
      </c>
      <c r="D105" s="252">
        <f>STDEV(E92:E95,G92:G95)/D104</f>
        <v>9.0876208710606483E-3</v>
      </c>
      <c r="F105" s="189"/>
      <c r="G105" s="245"/>
      <c r="H105" s="171"/>
      <c r="I105" s="251"/>
    </row>
    <row r="106" spans="1:9" ht="19.5" customHeight="1" x14ac:dyDescent="0.3">
      <c r="C106" s="194" t="s">
        <v>20</v>
      </c>
      <c r="D106" s="253">
        <f>COUNT(E92:E95,G92:G95)</f>
        <v>6</v>
      </c>
      <c r="F106" s="189"/>
      <c r="G106" s="245"/>
      <c r="H106" s="171"/>
      <c r="I106" s="251"/>
    </row>
    <row r="107" spans="1:9" s="52" customFormat="1" ht="18.75" x14ac:dyDescent="0.3">
      <c r="A107" s="254"/>
      <c r="B107" s="254"/>
      <c r="C107" s="229"/>
      <c r="D107" s="230"/>
      <c r="E107" s="254"/>
      <c r="F107" s="189"/>
      <c r="G107" s="255"/>
      <c r="H107" s="256"/>
      <c r="I107" s="251"/>
    </row>
    <row r="108" spans="1:9" s="52" customFormat="1" ht="18.75" x14ac:dyDescent="0.3">
      <c r="A108" s="129" t="s">
        <v>130</v>
      </c>
      <c r="B108" s="254"/>
      <c r="C108" s="229"/>
      <c r="D108" s="230"/>
      <c r="E108" s="254"/>
      <c r="F108" s="189"/>
      <c r="G108" s="255"/>
      <c r="H108" s="256"/>
      <c r="I108" s="251"/>
    </row>
    <row r="109" spans="1:9" ht="19.5" customHeight="1" x14ac:dyDescent="0.3">
      <c r="A109" s="196"/>
      <c r="B109" s="196"/>
      <c r="C109" s="196"/>
      <c r="D109" s="196"/>
      <c r="E109" s="196"/>
    </row>
    <row r="110" spans="1:9" ht="26.25" customHeight="1" x14ac:dyDescent="0.3">
      <c r="A110" s="145" t="s">
        <v>107</v>
      </c>
      <c r="B110" s="146">
        <v>900</v>
      </c>
      <c r="C110" s="257" t="s">
        <v>40</v>
      </c>
      <c r="D110" s="258" t="s">
        <v>65</v>
      </c>
      <c r="E110" s="259" t="s">
        <v>108</v>
      </c>
      <c r="F110" s="260" t="s">
        <v>109</v>
      </c>
    </row>
    <row r="111" spans="1:9" ht="26.25" customHeight="1" x14ac:dyDescent="0.3">
      <c r="A111" s="147" t="s">
        <v>110</v>
      </c>
      <c r="B111" s="148">
        <v>1</v>
      </c>
      <c r="C111" s="261">
        <v>1</v>
      </c>
      <c r="D111" s="262">
        <v>17667757</v>
      </c>
      <c r="E111" s="263">
        <f t="shared" ref="E111:E116" si="1">IF(ISBLANK(D111),"-",D111/$D$104*$D$101*$B$119)</f>
        <v>47.349187821349503</v>
      </c>
      <c r="F111" s="264">
        <f t="shared" ref="F111:F116" si="2">IF(ISBLANK(D111), "-", E111/$B$56)</f>
        <v>0.31566125214233004</v>
      </c>
    </row>
    <row r="112" spans="1:9" ht="26.25" customHeight="1" x14ac:dyDescent="0.3">
      <c r="A112" s="147" t="s">
        <v>89</v>
      </c>
      <c r="B112" s="148">
        <v>1</v>
      </c>
      <c r="C112" s="261">
        <v>2</v>
      </c>
      <c r="D112" s="262">
        <v>14537305</v>
      </c>
      <c r="E112" s="265">
        <f t="shared" si="1"/>
        <v>38.95964750144816</v>
      </c>
      <c r="F112" s="266">
        <f t="shared" si="2"/>
        <v>0.25973098334298772</v>
      </c>
    </row>
    <row r="113" spans="1:9" ht="26.25" customHeight="1" x14ac:dyDescent="0.3">
      <c r="A113" s="147" t="s">
        <v>90</v>
      </c>
      <c r="B113" s="148">
        <v>1</v>
      </c>
      <c r="C113" s="261">
        <v>3</v>
      </c>
      <c r="D113" s="262">
        <v>14900180</v>
      </c>
      <c r="E113" s="265">
        <f t="shared" si="1"/>
        <v>39.932144266638687</v>
      </c>
      <c r="F113" s="266">
        <f t="shared" si="2"/>
        <v>0.26621429511092459</v>
      </c>
    </row>
    <row r="114" spans="1:9" ht="26.25" customHeight="1" x14ac:dyDescent="0.3">
      <c r="A114" s="147" t="s">
        <v>91</v>
      </c>
      <c r="B114" s="148">
        <v>1</v>
      </c>
      <c r="C114" s="261">
        <v>4</v>
      </c>
      <c r="D114" s="262">
        <v>17426304</v>
      </c>
      <c r="E114" s="265">
        <f t="shared" si="1"/>
        <v>46.702099260700386</v>
      </c>
      <c r="F114" s="266">
        <f t="shared" si="2"/>
        <v>0.31134732840466922</v>
      </c>
    </row>
    <row r="115" spans="1:9" ht="26.25" customHeight="1" x14ac:dyDescent="0.3">
      <c r="A115" s="147" t="s">
        <v>92</v>
      </c>
      <c r="B115" s="148">
        <v>1</v>
      </c>
      <c r="C115" s="261">
        <v>5</v>
      </c>
      <c r="D115" s="262">
        <v>16450717</v>
      </c>
      <c r="E115" s="265">
        <f t="shared" si="1"/>
        <v>44.087548239930349</v>
      </c>
      <c r="F115" s="266">
        <f t="shared" si="2"/>
        <v>0.29391698826620233</v>
      </c>
    </row>
    <row r="116" spans="1:9" ht="26.25" customHeight="1" x14ac:dyDescent="0.3">
      <c r="A116" s="147" t="s">
        <v>94</v>
      </c>
      <c r="B116" s="148">
        <v>1</v>
      </c>
      <c r="C116" s="267">
        <v>6</v>
      </c>
      <c r="D116" s="268">
        <v>20086707</v>
      </c>
      <c r="E116" s="269">
        <f t="shared" si="1"/>
        <v>53.831918927536513</v>
      </c>
      <c r="F116" s="270">
        <f t="shared" si="2"/>
        <v>0.35887945951691008</v>
      </c>
    </row>
    <row r="117" spans="1:9" ht="26.25" customHeight="1" x14ac:dyDescent="0.3">
      <c r="A117" s="147" t="s">
        <v>95</v>
      </c>
      <c r="B117" s="148">
        <v>1</v>
      </c>
      <c r="C117" s="261"/>
      <c r="D117" s="222"/>
      <c r="E117" s="232"/>
      <c r="F117" s="271"/>
    </row>
    <row r="118" spans="1:9" ht="26.25" customHeight="1" x14ac:dyDescent="0.3">
      <c r="A118" s="147" t="s">
        <v>96</v>
      </c>
      <c r="B118" s="148">
        <v>1</v>
      </c>
      <c r="C118" s="261"/>
      <c r="D118" s="272"/>
      <c r="E118" s="273" t="s">
        <v>72</v>
      </c>
      <c r="F118" s="274">
        <f>AVERAGE(F111:F116)</f>
        <v>0.30095838446400397</v>
      </c>
    </row>
    <row r="119" spans="1:9" ht="27" customHeight="1" x14ac:dyDescent="0.3">
      <c r="A119" s="147" t="s">
        <v>97</v>
      </c>
      <c r="B119" s="275">
        <f>(B118/B117)*(B116/B115)*(B114/B113)*(B112/B111)*B110</f>
        <v>900</v>
      </c>
      <c r="C119" s="276"/>
      <c r="D119" s="277"/>
      <c r="E119" s="233" t="s">
        <v>82</v>
      </c>
      <c r="F119" s="278">
        <f>STDEV(F111:F116)/F118</f>
        <v>0.12104355779404398</v>
      </c>
    </row>
    <row r="120" spans="1:9" ht="27" customHeight="1" x14ac:dyDescent="0.3">
      <c r="A120" s="515" t="s">
        <v>77</v>
      </c>
      <c r="B120" s="516"/>
      <c r="C120" s="279"/>
      <c r="D120" s="280"/>
      <c r="E120" s="281" t="s">
        <v>20</v>
      </c>
      <c r="F120" s="282">
        <f>COUNT(F111:F116)</f>
        <v>6</v>
      </c>
      <c r="I120" s="251"/>
    </row>
    <row r="121" spans="1:9" ht="19.5" customHeight="1" x14ac:dyDescent="0.25">
      <c r="A121" s="517"/>
      <c r="B121" s="518"/>
      <c r="C121" s="232"/>
      <c r="D121" s="232"/>
      <c r="E121" s="232"/>
      <c r="F121" s="222"/>
      <c r="G121" s="232"/>
      <c r="H121" s="232"/>
    </row>
    <row r="122" spans="1:9" ht="18.75" x14ac:dyDescent="0.25">
      <c r="A122" s="142"/>
      <c r="B122" s="142"/>
      <c r="C122" s="232"/>
      <c r="D122" s="232"/>
      <c r="E122" s="232"/>
      <c r="F122" s="222"/>
      <c r="G122" s="232"/>
      <c r="H122" s="232"/>
    </row>
    <row r="123" spans="1:9" ht="26.25" customHeight="1" x14ac:dyDescent="0.25">
      <c r="A123" s="130" t="s">
        <v>100</v>
      </c>
      <c r="B123" s="231" t="s">
        <v>111</v>
      </c>
      <c r="C123" s="512" t="str">
        <f>B20</f>
        <v>Rabeprazole sodium  &amp; Itopride hydrochloride</v>
      </c>
      <c r="D123" s="512"/>
      <c r="E123" s="232" t="s">
        <v>112</v>
      </c>
      <c r="F123" s="232"/>
      <c r="G123" s="301">
        <f>F118</f>
        <v>0.30095838446400397</v>
      </c>
      <c r="H123" s="232"/>
    </row>
    <row r="124" spans="1:9" ht="18.75" x14ac:dyDescent="0.25">
      <c r="A124" s="142"/>
      <c r="B124" s="142"/>
      <c r="C124" s="232"/>
      <c r="D124" s="232"/>
      <c r="E124" s="232"/>
      <c r="F124" s="222"/>
      <c r="G124" s="232"/>
      <c r="H124" s="232"/>
    </row>
    <row r="125" spans="1:9" ht="18.75" x14ac:dyDescent="0.3">
      <c r="A125" s="129" t="s">
        <v>129</v>
      </c>
      <c r="B125" s="129"/>
    </row>
    <row r="126" spans="1:9" ht="19.5" customHeight="1" x14ac:dyDescent="0.3">
      <c r="A126" s="196"/>
      <c r="B126" s="196"/>
      <c r="C126" s="196"/>
      <c r="D126" s="196"/>
      <c r="E126" s="196"/>
    </row>
    <row r="127" spans="1:9" ht="26.25" customHeight="1" x14ac:dyDescent="0.3">
      <c r="A127" s="145" t="s">
        <v>107</v>
      </c>
      <c r="B127" s="146">
        <v>900</v>
      </c>
      <c r="C127" s="257" t="s">
        <v>40</v>
      </c>
      <c r="D127" s="258" t="s">
        <v>65</v>
      </c>
      <c r="E127" s="259" t="s">
        <v>108</v>
      </c>
      <c r="F127" s="260" t="s">
        <v>109</v>
      </c>
    </row>
    <row r="128" spans="1:9" ht="26.25" customHeight="1" x14ac:dyDescent="0.3">
      <c r="A128" s="147" t="s">
        <v>110</v>
      </c>
      <c r="B128" s="148">
        <v>1</v>
      </c>
      <c r="C128" s="261">
        <v>1</v>
      </c>
      <c r="D128" s="262">
        <v>34676305</v>
      </c>
      <c r="E128" s="283">
        <f t="shared" ref="E128:E133" si="3">IF(ISBLANK(D128),"-",D128/$D$104*$D$101*$B$136)</f>
        <v>92.931710482287073</v>
      </c>
      <c r="F128" s="284">
        <f t="shared" ref="F128:F133" si="4">IF(ISBLANK(D128), "-", E128/$B$56)</f>
        <v>0.61954473654858044</v>
      </c>
    </row>
    <row r="129" spans="1:9" ht="26.25" customHeight="1" x14ac:dyDescent="0.3">
      <c r="A129" s="147" t="s">
        <v>89</v>
      </c>
      <c r="B129" s="148">
        <v>1</v>
      </c>
      <c r="C129" s="261">
        <v>2</v>
      </c>
      <c r="D129" s="262">
        <v>31235324</v>
      </c>
      <c r="E129" s="285">
        <f t="shared" si="3"/>
        <v>83.70995948929486</v>
      </c>
      <c r="F129" s="286">
        <f t="shared" si="4"/>
        <v>0.55806639659529911</v>
      </c>
    </row>
    <row r="130" spans="1:9" ht="26.25" customHeight="1" x14ac:dyDescent="0.3">
      <c r="A130" s="147" t="s">
        <v>90</v>
      </c>
      <c r="B130" s="148">
        <v>1</v>
      </c>
      <c r="C130" s="261">
        <v>3</v>
      </c>
      <c r="D130" s="262">
        <v>31418042</v>
      </c>
      <c r="E130" s="285">
        <f t="shared" si="3"/>
        <v>84.199639582831438</v>
      </c>
      <c r="F130" s="286">
        <f t="shared" si="4"/>
        <v>0.56133093055220962</v>
      </c>
    </row>
    <row r="131" spans="1:9" ht="26.25" customHeight="1" x14ac:dyDescent="0.3">
      <c r="A131" s="147" t="s">
        <v>91</v>
      </c>
      <c r="B131" s="148">
        <v>1</v>
      </c>
      <c r="C131" s="261">
        <v>4</v>
      </c>
      <c r="D131" s="262">
        <v>34938177</v>
      </c>
      <c r="E131" s="285">
        <f t="shared" si="3"/>
        <v>93.633521499562917</v>
      </c>
      <c r="F131" s="286">
        <f t="shared" si="4"/>
        <v>0.62422347666375277</v>
      </c>
    </row>
    <row r="132" spans="1:9" ht="26.25" customHeight="1" x14ac:dyDescent="0.3">
      <c r="A132" s="147" t="s">
        <v>92</v>
      </c>
      <c r="B132" s="148">
        <v>1</v>
      </c>
      <c r="C132" s="261">
        <v>5</v>
      </c>
      <c r="D132" s="262">
        <v>33953206</v>
      </c>
      <c r="E132" s="285">
        <f t="shared" si="3"/>
        <v>90.993821571746253</v>
      </c>
      <c r="F132" s="286">
        <f t="shared" si="4"/>
        <v>0.60662547714497506</v>
      </c>
    </row>
    <row r="133" spans="1:9" ht="26.25" customHeight="1" x14ac:dyDescent="0.3">
      <c r="A133" s="147" t="s">
        <v>94</v>
      </c>
      <c r="B133" s="148">
        <v>1</v>
      </c>
      <c r="C133" s="267">
        <v>6</v>
      </c>
      <c r="D133" s="268">
        <v>36240989</v>
      </c>
      <c r="E133" s="287">
        <f t="shared" si="3"/>
        <v>97.125028094537484</v>
      </c>
      <c r="F133" s="288">
        <f t="shared" si="4"/>
        <v>0.64750018729691661</v>
      </c>
    </row>
    <row r="134" spans="1:9" ht="26.25" customHeight="1" x14ac:dyDescent="0.3">
      <c r="A134" s="147" t="s">
        <v>95</v>
      </c>
      <c r="B134" s="148">
        <v>1</v>
      </c>
      <c r="C134" s="261"/>
      <c r="D134" s="222"/>
      <c r="E134" s="232"/>
      <c r="F134" s="271"/>
    </row>
    <row r="135" spans="1:9" ht="26.25" customHeight="1" x14ac:dyDescent="0.3">
      <c r="A135" s="147" t="s">
        <v>96</v>
      </c>
      <c r="B135" s="148">
        <v>1</v>
      </c>
      <c r="C135" s="261"/>
      <c r="D135" s="272"/>
      <c r="E135" s="273" t="s">
        <v>72</v>
      </c>
      <c r="F135" s="274">
        <f>AVERAGE(F128:F133)</f>
        <v>0.6028818674669556</v>
      </c>
    </row>
    <row r="136" spans="1:9" ht="27" customHeight="1" x14ac:dyDescent="0.3">
      <c r="A136" s="147" t="s">
        <v>97</v>
      </c>
      <c r="B136" s="148">
        <f>(B135/B134)*(B133/B132)*(B131/B130)*(B129/B128)*B127</f>
        <v>900</v>
      </c>
      <c r="C136" s="276"/>
      <c r="D136" s="232"/>
      <c r="E136" s="289" t="s">
        <v>82</v>
      </c>
      <c r="F136" s="278">
        <f>STDEV(F128:F133)/F135</f>
        <v>5.9680152163040817E-2</v>
      </c>
    </row>
    <row r="137" spans="1:9" ht="27" customHeight="1" x14ac:dyDescent="0.3">
      <c r="A137" s="515" t="s">
        <v>77</v>
      </c>
      <c r="B137" s="516"/>
      <c r="C137" s="279"/>
      <c r="D137" s="290"/>
      <c r="E137" s="291" t="s">
        <v>20</v>
      </c>
      <c r="F137" s="282">
        <f>COUNT(F128:F133)</f>
        <v>6</v>
      </c>
      <c r="I137" s="251"/>
    </row>
    <row r="138" spans="1:9" ht="19.5" customHeight="1" x14ac:dyDescent="0.25">
      <c r="A138" s="517"/>
      <c r="B138" s="518"/>
      <c r="C138" s="232"/>
      <c r="D138" s="232"/>
      <c r="E138" s="232"/>
      <c r="F138" s="222"/>
      <c r="G138" s="232"/>
      <c r="H138" s="232"/>
    </row>
    <row r="139" spans="1:9" ht="18.75" x14ac:dyDescent="0.25">
      <c r="A139" s="142"/>
      <c r="B139" s="142"/>
      <c r="C139" s="232"/>
      <c r="D139" s="232"/>
      <c r="E139" s="232"/>
      <c r="F139" s="222"/>
      <c r="G139" s="232"/>
      <c r="H139" s="232"/>
    </row>
    <row r="140" spans="1:9" ht="26.25" customHeight="1" x14ac:dyDescent="0.25">
      <c r="A140" s="130" t="s">
        <v>100</v>
      </c>
      <c r="B140" s="231" t="s">
        <v>111</v>
      </c>
      <c r="C140" s="512" t="str">
        <f>B20</f>
        <v>Rabeprazole sodium  &amp; Itopride hydrochloride</v>
      </c>
      <c r="D140" s="512"/>
      <c r="E140" s="232" t="s">
        <v>112</v>
      </c>
      <c r="F140" s="232"/>
      <c r="G140" s="301">
        <f>F135</f>
        <v>0.6028818674669556</v>
      </c>
      <c r="H140" s="232"/>
    </row>
    <row r="141" spans="1:9" ht="19.5" customHeight="1" x14ac:dyDescent="0.25">
      <c r="A141" s="292"/>
      <c r="B141" s="292"/>
      <c r="C141" s="293"/>
      <c r="D141" s="293"/>
      <c r="E141" s="293"/>
      <c r="F141" s="293"/>
      <c r="G141" s="293"/>
      <c r="H141" s="293"/>
    </row>
    <row r="142" spans="1:9" ht="18.75" x14ac:dyDescent="0.3">
      <c r="B142" s="529" t="s">
        <v>26</v>
      </c>
      <c r="C142" s="529"/>
      <c r="E142" s="236" t="s">
        <v>27</v>
      </c>
      <c r="F142" s="294"/>
      <c r="G142" s="529" t="s">
        <v>28</v>
      </c>
      <c r="H142" s="529"/>
    </row>
    <row r="143" spans="1:9" ht="60" customHeight="1" x14ac:dyDescent="0.3">
      <c r="A143" s="295" t="s">
        <v>29</v>
      </c>
      <c r="B143" s="530"/>
      <c r="C143" s="530"/>
      <c r="E143" s="296"/>
      <c r="F143" s="232"/>
      <c r="G143" s="297"/>
      <c r="H143" s="297"/>
    </row>
    <row r="144" spans="1:9" ht="60" customHeight="1" x14ac:dyDescent="0.3">
      <c r="A144" s="295" t="s">
        <v>30</v>
      </c>
      <c r="B144" s="533"/>
      <c r="C144" s="533"/>
      <c r="E144" s="298"/>
      <c r="F144" s="232"/>
      <c r="G144" s="299"/>
      <c r="H144" s="299"/>
    </row>
    <row r="145" spans="1:8" ht="18.75" x14ac:dyDescent="0.25">
      <c r="A145" s="221"/>
      <c r="B145" s="221"/>
      <c r="C145" s="222"/>
      <c r="D145" s="222"/>
      <c r="E145" s="222"/>
      <c r="F145" s="226"/>
      <c r="G145" s="222"/>
      <c r="H145" s="222"/>
    </row>
    <row r="146" spans="1:8" ht="18.75" x14ac:dyDescent="0.25">
      <c r="A146" s="221"/>
      <c r="B146" s="221"/>
      <c r="C146" s="222"/>
      <c r="D146" s="222"/>
      <c r="E146" s="222"/>
      <c r="F146" s="226"/>
      <c r="G146" s="222"/>
      <c r="H146" s="222"/>
    </row>
    <row r="147" spans="1:8" ht="18.75" x14ac:dyDescent="0.25">
      <c r="A147" s="221"/>
      <c r="B147" s="221"/>
      <c r="C147" s="222"/>
      <c r="D147" s="222"/>
      <c r="E147" s="222"/>
      <c r="F147" s="226"/>
      <c r="G147" s="222"/>
      <c r="H147" s="222"/>
    </row>
    <row r="148" spans="1:8" ht="18.75" x14ac:dyDescent="0.25">
      <c r="A148" s="221"/>
      <c r="B148" s="221"/>
      <c r="C148" s="222"/>
      <c r="D148" s="222"/>
      <c r="E148" s="222"/>
      <c r="F148" s="226"/>
      <c r="G148" s="222"/>
      <c r="H148" s="222"/>
    </row>
    <row r="149" spans="1:8" ht="18.75" x14ac:dyDescent="0.25">
      <c r="A149" s="221"/>
      <c r="B149" s="221"/>
      <c r="C149" s="222"/>
      <c r="D149" s="222"/>
      <c r="E149" s="222"/>
      <c r="F149" s="226"/>
      <c r="G149" s="222"/>
      <c r="H149" s="222"/>
    </row>
    <row r="150" spans="1:8" ht="18.75" x14ac:dyDescent="0.25">
      <c r="A150" s="221"/>
      <c r="B150" s="221"/>
      <c r="C150" s="222"/>
      <c r="D150" s="222"/>
      <c r="E150" s="222"/>
      <c r="F150" s="226"/>
      <c r="G150" s="222"/>
      <c r="H150" s="222"/>
    </row>
    <row r="151" spans="1:8" ht="18.75" x14ac:dyDescent="0.25">
      <c r="A151" s="221"/>
      <c r="B151" s="221"/>
      <c r="C151" s="222"/>
      <c r="D151" s="222"/>
      <c r="E151" s="222"/>
      <c r="F151" s="226"/>
      <c r="G151" s="222"/>
      <c r="H151" s="222"/>
    </row>
    <row r="152" spans="1:8" ht="18.75" x14ac:dyDescent="0.25">
      <c r="A152" s="221"/>
      <c r="B152" s="221"/>
      <c r="C152" s="222"/>
      <c r="D152" s="222"/>
      <c r="E152" s="222"/>
      <c r="F152" s="226"/>
      <c r="G152" s="222"/>
      <c r="H152" s="222"/>
    </row>
    <row r="153" spans="1:8" ht="18.75" x14ac:dyDescent="0.25">
      <c r="A153" s="221"/>
      <c r="B153" s="221"/>
      <c r="C153" s="222"/>
      <c r="D153" s="222"/>
      <c r="E153" s="222"/>
      <c r="F153" s="226"/>
      <c r="G153" s="222"/>
      <c r="H153" s="222"/>
    </row>
    <row r="250" spans="1:1" x14ac:dyDescent="0.3">
      <c r="A250" s="1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7">
    <mergeCell ref="A1:H7"/>
    <mergeCell ref="A8:H14"/>
    <mergeCell ref="A46:B47"/>
    <mergeCell ref="A16:H16"/>
    <mergeCell ref="A17:H17"/>
    <mergeCell ref="B21:H21"/>
    <mergeCell ref="B26:C26"/>
    <mergeCell ref="B27:C27"/>
    <mergeCell ref="C29:H29"/>
    <mergeCell ref="C31:H31"/>
    <mergeCell ref="C32:H32"/>
    <mergeCell ref="D36:E36"/>
    <mergeCell ref="F36:G36"/>
    <mergeCell ref="B18:C18"/>
    <mergeCell ref="D18:E18"/>
    <mergeCell ref="B20:C20"/>
    <mergeCell ref="C60:C63"/>
    <mergeCell ref="D60:D63"/>
    <mergeCell ref="C64:C67"/>
    <mergeCell ref="D64:D67"/>
    <mergeCell ref="C68:C71"/>
    <mergeCell ref="D68:D71"/>
    <mergeCell ref="G142:H142"/>
    <mergeCell ref="B143:C143"/>
    <mergeCell ref="B144:C144"/>
    <mergeCell ref="A100:B101"/>
    <mergeCell ref="A120:B121"/>
    <mergeCell ref="C123:D123"/>
    <mergeCell ref="A137:B138"/>
    <mergeCell ref="C140:D140"/>
    <mergeCell ref="B142:C142"/>
    <mergeCell ref="F90:G90"/>
    <mergeCell ref="A70:B71"/>
    <mergeCell ref="C76:D76"/>
    <mergeCell ref="C83:H83"/>
    <mergeCell ref="C85:H85"/>
    <mergeCell ref="C86:H86"/>
  </mergeCells>
  <conditionalFormatting sqref="D51">
    <cfRule type="cellIs" dxfId="5" priority="1" operator="greaterThan">
      <formula>0.02</formula>
    </cfRule>
  </conditionalFormatting>
  <conditionalFormatting sqref="H73">
    <cfRule type="cellIs" dxfId="4" priority="2" operator="greaterThan">
      <formula>0.02</formula>
    </cfRule>
  </conditionalFormatting>
  <conditionalFormatting sqref="D105">
    <cfRule type="cellIs" dxfId="3" priority="3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2</oddHeader>
    <oddFooter>&amp;LNQCL/ADDO/014&amp;CPage &amp;P of &amp;N&amp;R&amp;D &amp;T</oddFooter>
  </headerFooter>
  <rowBreaks count="1" manualBreakCount="1">
    <brk id="77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abSelected="1" view="pageBreakPreview" topLeftCell="A115" zoomScale="50" zoomScaleNormal="55" zoomScaleSheetLayoutView="50" workbookViewId="0">
      <selection activeCell="B151" sqref="B151"/>
    </sheetView>
  </sheetViews>
  <sheetFormatPr defaultColWidth="9.140625" defaultRowHeight="15" x14ac:dyDescent="0.3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3.5703125" style="1" customWidth="1"/>
    <col min="6" max="6" width="36" style="1" customWidth="1"/>
    <col min="7" max="7" width="33.140625" style="1" customWidth="1"/>
    <col min="8" max="8" width="29.7109375" style="1" customWidth="1"/>
    <col min="9" max="9" width="29.85546875" style="2" customWidth="1"/>
    <col min="10" max="10" width="34.85546875" style="2" customWidth="1"/>
    <col min="11" max="11" width="9.140625" style="2"/>
  </cols>
  <sheetData>
    <row r="1" spans="1:8" ht="13.5" x14ac:dyDescent="0.25">
      <c r="A1" s="500" t="s">
        <v>49</v>
      </c>
      <c r="B1" s="500"/>
      <c r="C1" s="500"/>
      <c r="D1" s="500"/>
      <c r="E1" s="500"/>
      <c r="F1" s="500"/>
      <c r="G1" s="500"/>
      <c r="H1" s="500"/>
    </row>
    <row r="2" spans="1:8" ht="13.5" x14ac:dyDescent="0.25">
      <c r="A2" s="500"/>
      <c r="B2" s="500"/>
      <c r="C2" s="500"/>
      <c r="D2" s="500"/>
      <c r="E2" s="500"/>
      <c r="F2" s="500"/>
      <c r="G2" s="500"/>
      <c r="H2" s="500"/>
    </row>
    <row r="3" spans="1:8" ht="13.5" x14ac:dyDescent="0.25">
      <c r="A3" s="500"/>
      <c r="B3" s="500"/>
      <c r="C3" s="500"/>
      <c r="D3" s="500"/>
      <c r="E3" s="500"/>
      <c r="F3" s="500"/>
      <c r="G3" s="500"/>
      <c r="H3" s="500"/>
    </row>
    <row r="4" spans="1:8" ht="13.5" x14ac:dyDescent="0.25">
      <c r="A4" s="500"/>
      <c r="B4" s="500"/>
      <c r="C4" s="500"/>
      <c r="D4" s="500"/>
      <c r="E4" s="500"/>
      <c r="F4" s="500"/>
      <c r="G4" s="500"/>
      <c r="H4" s="500"/>
    </row>
    <row r="5" spans="1:8" ht="13.5" x14ac:dyDescent="0.25">
      <c r="A5" s="500"/>
      <c r="B5" s="500"/>
      <c r="C5" s="500"/>
      <c r="D5" s="500"/>
      <c r="E5" s="500"/>
      <c r="F5" s="500"/>
      <c r="G5" s="500"/>
      <c r="H5" s="500"/>
    </row>
    <row r="6" spans="1:8" ht="13.5" x14ac:dyDescent="0.25">
      <c r="A6" s="500"/>
      <c r="B6" s="500"/>
      <c r="C6" s="500"/>
      <c r="D6" s="500"/>
      <c r="E6" s="500"/>
      <c r="F6" s="500"/>
      <c r="G6" s="500"/>
      <c r="H6" s="500"/>
    </row>
    <row r="7" spans="1:8" ht="13.5" x14ac:dyDescent="0.25">
      <c r="A7" s="500"/>
      <c r="B7" s="500"/>
      <c r="C7" s="500"/>
      <c r="D7" s="500"/>
      <c r="E7" s="500"/>
      <c r="F7" s="500"/>
      <c r="G7" s="500"/>
      <c r="H7" s="500"/>
    </row>
    <row r="8" spans="1:8" ht="13.5" x14ac:dyDescent="0.25">
      <c r="A8" s="501" t="s">
        <v>50</v>
      </c>
      <c r="B8" s="501"/>
      <c r="C8" s="501"/>
      <c r="D8" s="501"/>
      <c r="E8" s="501"/>
      <c r="F8" s="501"/>
      <c r="G8" s="501"/>
      <c r="H8" s="501"/>
    </row>
    <row r="9" spans="1:8" ht="13.5" x14ac:dyDescent="0.25">
      <c r="A9" s="501"/>
      <c r="B9" s="501"/>
      <c r="C9" s="501"/>
      <c r="D9" s="501"/>
      <c r="E9" s="501"/>
      <c r="F9" s="501"/>
      <c r="G9" s="501"/>
      <c r="H9" s="501"/>
    </row>
    <row r="10" spans="1:8" ht="13.5" x14ac:dyDescent="0.25">
      <c r="A10" s="501"/>
      <c r="B10" s="501"/>
      <c r="C10" s="501"/>
      <c r="D10" s="501"/>
      <c r="E10" s="501"/>
      <c r="F10" s="501"/>
      <c r="G10" s="501"/>
      <c r="H10" s="501"/>
    </row>
    <row r="11" spans="1:8" ht="13.5" x14ac:dyDescent="0.25">
      <c r="A11" s="501"/>
      <c r="B11" s="501"/>
      <c r="C11" s="501"/>
      <c r="D11" s="501"/>
      <c r="E11" s="501"/>
      <c r="F11" s="501"/>
      <c r="G11" s="501"/>
      <c r="H11" s="501"/>
    </row>
    <row r="12" spans="1:8" ht="13.5" x14ac:dyDescent="0.25">
      <c r="A12" s="501"/>
      <c r="B12" s="501"/>
      <c r="C12" s="501"/>
      <c r="D12" s="501"/>
      <c r="E12" s="501"/>
      <c r="F12" s="501"/>
      <c r="G12" s="501"/>
      <c r="H12" s="501"/>
    </row>
    <row r="13" spans="1:8" ht="13.5" x14ac:dyDescent="0.25">
      <c r="A13" s="501"/>
      <c r="B13" s="501"/>
      <c r="C13" s="501"/>
      <c r="D13" s="501"/>
      <c r="E13" s="501"/>
      <c r="F13" s="501"/>
      <c r="G13" s="501"/>
      <c r="H13" s="501"/>
    </row>
    <row r="14" spans="1:8" ht="13.5" x14ac:dyDescent="0.25">
      <c r="A14" s="501"/>
      <c r="B14" s="501"/>
      <c r="C14" s="501"/>
      <c r="D14" s="501"/>
      <c r="E14" s="501"/>
      <c r="F14" s="501"/>
      <c r="G14" s="501"/>
      <c r="H14" s="501"/>
    </row>
    <row r="15" spans="1:8" ht="19.5" customHeight="1" x14ac:dyDescent="0.3"/>
    <row r="16" spans="1:8" ht="19.5" customHeight="1" x14ac:dyDescent="0.3">
      <c r="A16" s="502" t="s">
        <v>31</v>
      </c>
      <c r="B16" s="503"/>
      <c r="C16" s="503"/>
      <c r="D16" s="503"/>
      <c r="E16" s="503"/>
      <c r="F16" s="503"/>
      <c r="G16" s="503"/>
      <c r="H16" s="504"/>
    </row>
    <row r="17" spans="1:13" ht="20.25" customHeight="1" x14ac:dyDescent="0.25">
      <c r="A17" s="505" t="s">
        <v>51</v>
      </c>
      <c r="B17" s="505"/>
      <c r="C17" s="505"/>
      <c r="D17" s="505"/>
      <c r="E17" s="505"/>
      <c r="F17" s="505"/>
      <c r="G17" s="505"/>
      <c r="H17" s="505"/>
    </row>
    <row r="18" spans="1:13" ht="26.25" customHeight="1" x14ac:dyDescent="0.4">
      <c r="A18" s="304" t="s">
        <v>33</v>
      </c>
      <c r="B18" s="506" t="s">
        <v>5</v>
      </c>
      <c r="C18" s="506"/>
      <c r="D18" s="506" t="s">
        <v>5</v>
      </c>
      <c r="E18" s="506"/>
    </row>
    <row r="19" spans="1:13" ht="26.25" customHeight="1" x14ac:dyDescent="0.4">
      <c r="A19" s="304" t="s">
        <v>34</v>
      </c>
      <c r="B19" s="124" t="s">
        <v>7</v>
      </c>
      <c r="C19" s="303">
        <v>2</v>
      </c>
    </row>
    <row r="20" spans="1:13" ht="26.25" customHeight="1" x14ac:dyDescent="0.4">
      <c r="A20" s="304" t="s">
        <v>35</v>
      </c>
      <c r="B20" s="507" t="s">
        <v>9</v>
      </c>
      <c r="C20" s="507"/>
    </row>
    <row r="21" spans="1:13" ht="26.25" customHeight="1" x14ac:dyDescent="0.4">
      <c r="A21" s="304" t="s">
        <v>36</v>
      </c>
      <c r="B21" s="507" t="s">
        <v>11</v>
      </c>
      <c r="C21" s="507"/>
      <c r="D21" s="507"/>
      <c r="E21" s="507"/>
      <c r="F21" s="507"/>
      <c r="G21" s="507"/>
      <c r="H21" s="507"/>
    </row>
    <row r="22" spans="1:13" ht="26.25" customHeight="1" x14ac:dyDescent="0.3">
      <c r="A22" s="304" t="s">
        <v>37</v>
      </c>
      <c r="B22" s="305"/>
    </row>
    <row r="23" spans="1:13" ht="26.25" customHeight="1" x14ac:dyDescent="0.3">
      <c r="A23" s="304" t="s">
        <v>38</v>
      </c>
      <c r="B23" s="305"/>
    </row>
    <row r="24" spans="1:13" ht="18.75" x14ac:dyDescent="0.3">
      <c r="A24" s="304"/>
      <c r="B24" s="306"/>
    </row>
    <row r="25" spans="1:13" ht="18.75" x14ac:dyDescent="0.3">
      <c r="A25" s="307" t="s">
        <v>1</v>
      </c>
      <c r="B25" s="306"/>
    </row>
    <row r="26" spans="1:13" ht="26.25" customHeight="1" x14ac:dyDescent="0.3">
      <c r="A26" s="308" t="s">
        <v>4</v>
      </c>
      <c r="B26" s="508" t="s">
        <v>125</v>
      </c>
      <c r="C26" s="508"/>
    </row>
    <row r="27" spans="1:13" ht="26.25" customHeight="1" x14ac:dyDescent="0.3">
      <c r="A27" s="309" t="s">
        <v>52</v>
      </c>
      <c r="B27" s="508" t="s">
        <v>126</v>
      </c>
      <c r="C27" s="508"/>
    </row>
    <row r="28" spans="1:13" ht="27" customHeight="1" x14ac:dyDescent="0.3">
      <c r="A28" s="309" t="s">
        <v>6</v>
      </c>
      <c r="B28" s="310">
        <v>99</v>
      </c>
    </row>
    <row r="29" spans="1:13" s="12" customFormat="1" ht="15.75" customHeight="1" x14ac:dyDescent="0.3">
      <c r="A29" s="309" t="s">
        <v>53</v>
      </c>
      <c r="B29" s="311">
        <v>6.5</v>
      </c>
      <c r="C29" s="509" t="s">
        <v>113</v>
      </c>
      <c r="D29" s="510"/>
      <c r="E29" s="510"/>
      <c r="F29" s="510"/>
      <c r="G29" s="510"/>
      <c r="H29" s="511"/>
      <c r="I29" s="312"/>
      <c r="J29" s="312"/>
      <c r="K29" s="312"/>
    </row>
    <row r="30" spans="1:13" s="12" customFormat="1" ht="19.5" customHeight="1" x14ac:dyDescent="0.3">
      <c r="A30" s="309" t="s">
        <v>54</v>
      </c>
      <c r="B30" s="313">
        <f>B28-B29</f>
        <v>92.5</v>
      </c>
      <c r="C30" s="314"/>
      <c r="D30" s="314"/>
      <c r="E30" s="314"/>
      <c r="F30" s="314"/>
      <c r="G30" s="314"/>
      <c r="H30" s="315"/>
      <c r="I30" s="312"/>
      <c r="J30" s="312"/>
      <c r="K30" s="312"/>
    </row>
    <row r="31" spans="1:13" s="12" customFormat="1" ht="27" customHeight="1" x14ac:dyDescent="0.3">
      <c r="A31" s="309" t="s">
        <v>55</v>
      </c>
      <c r="B31" s="316">
        <v>1</v>
      </c>
      <c r="C31" s="497" t="s">
        <v>56</v>
      </c>
      <c r="D31" s="498"/>
      <c r="E31" s="498"/>
      <c r="F31" s="498"/>
      <c r="G31" s="498"/>
      <c r="H31" s="499"/>
      <c r="I31" s="312"/>
      <c r="J31" s="312"/>
      <c r="K31" s="312"/>
    </row>
    <row r="32" spans="1:13" s="12" customFormat="1" ht="27" customHeight="1" x14ac:dyDescent="0.3">
      <c r="A32" s="309" t="s">
        <v>57</v>
      </c>
      <c r="B32" s="316">
        <v>1</v>
      </c>
      <c r="C32" s="497" t="s">
        <v>58</v>
      </c>
      <c r="D32" s="498"/>
      <c r="E32" s="498"/>
      <c r="F32" s="498"/>
      <c r="G32" s="498"/>
      <c r="H32" s="499"/>
      <c r="I32" s="312"/>
      <c r="J32" s="312"/>
      <c r="K32" s="317"/>
      <c r="L32" s="317"/>
      <c r="M32" s="318"/>
    </row>
    <row r="33" spans="1:13" s="12" customFormat="1" ht="17.25" customHeight="1" x14ac:dyDescent="0.3">
      <c r="A33" s="309"/>
      <c r="B33" s="319"/>
      <c r="C33" s="320"/>
      <c r="D33" s="320"/>
      <c r="E33" s="320"/>
      <c r="F33" s="320"/>
      <c r="G33" s="320"/>
      <c r="H33" s="320"/>
      <c r="I33" s="312"/>
      <c r="J33" s="312"/>
      <c r="K33" s="317"/>
      <c r="L33" s="317"/>
      <c r="M33" s="318"/>
    </row>
    <row r="34" spans="1:13" s="12" customFormat="1" ht="18.75" x14ac:dyDescent="0.3">
      <c r="A34" s="309" t="s">
        <v>59</v>
      </c>
      <c r="B34" s="321">
        <f>B31/B32</f>
        <v>1</v>
      </c>
      <c r="C34" s="303" t="s">
        <v>60</v>
      </c>
      <c r="D34" s="303"/>
      <c r="E34" s="303"/>
      <c r="F34" s="303"/>
      <c r="G34" s="303"/>
      <c r="H34" s="322"/>
      <c r="I34" s="312"/>
      <c r="J34" s="312"/>
      <c r="K34" s="317"/>
      <c r="L34" s="317"/>
      <c r="M34" s="318"/>
    </row>
    <row r="35" spans="1:13" s="12" customFormat="1" ht="19.5" customHeight="1" x14ac:dyDescent="0.3">
      <c r="A35" s="309"/>
      <c r="B35" s="313"/>
      <c r="C35" s="322"/>
      <c r="D35" s="322"/>
      <c r="E35" s="322"/>
      <c r="F35" s="322"/>
      <c r="G35" s="303"/>
      <c r="H35" s="322"/>
      <c r="I35" s="312"/>
      <c r="J35" s="312"/>
      <c r="K35" s="317"/>
      <c r="L35" s="317"/>
      <c r="M35" s="318"/>
    </row>
    <row r="36" spans="1:13" s="12" customFormat="1" ht="15.75" customHeight="1" x14ac:dyDescent="0.3">
      <c r="A36" s="323" t="s">
        <v>114</v>
      </c>
      <c r="B36" s="324">
        <v>100</v>
      </c>
      <c r="C36" s="303"/>
      <c r="D36" s="513" t="s">
        <v>61</v>
      </c>
      <c r="E36" s="514"/>
      <c r="F36" s="513" t="s">
        <v>62</v>
      </c>
      <c r="G36" s="514"/>
      <c r="H36" s="322"/>
      <c r="I36" s="312"/>
      <c r="J36" s="312"/>
      <c r="K36" s="317"/>
      <c r="L36" s="317"/>
      <c r="M36" s="318"/>
    </row>
    <row r="37" spans="1:13" s="12" customFormat="1" ht="15.75" customHeight="1" x14ac:dyDescent="0.3">
      <c r="A37" s="325" t="s">
        <v>63</v>
      </c>
      <c r="B37" s="326">
        <v>5</v>
      </c>
      <c r="C37" s="327" t="s">
        <v>64</v>
      </c>
      <c r="D37" s="328" t="s">
        <v>65</v>
      </c>
      <c r="E37" s="329" t="s">
        <v>66</v>
      </c>
      <c r="F37" s="328" t="s">
        <v>65</v>
      </c>
      <c r="G37" s="330" t="s">
        <v>66</v>
      </c>
      <c r="H37" s="322"/>
      <c r="I37" s="312"/>
      <c r="J37" s="312"/>
      <c r="K37" s="317"/>
      <c r="L37" s="317"/>
      <c r="M37" s="318"/>
    </row>
    <row r="38" spans="1:13" s="12" customFormat="1" ht="26.25" customHeight="1" x14ac:dyDescent="0.3">
      <c r="A38" s="325" t="s">
        <v>67</v>
      </c>
      <c r="B38" s="326">
        <v>100</v>
      </c>
      <c r="C38" s="331">
        <v>1</v>
      </c>
      <c r="D38" s="332">
        <v>15049951</v>
      </c>
      <c r="E38" s="333">
        <f>IF(ISBLANK(D38),"-",$D$48/$D$45*D38)</f>
        <v>81842139.322421014</v>
      </c>
      <c r="F38" s="332">
        <v>17083155</v>
      </c>
      <c r="G38" s="334">
        <f>IF(ISBLANK(F38),"-",$D$48/$F$45*F38)</f>
        <v>82337385.981612459</v>
      </c>
      <c r="H38" s="322"/>
      <c r="I38" s="312"/>
      <c r="J38" s="312"/>
      <c r="K38" s="317"/>
      <c r="L38" s="317"/>
      <c r="M38" s="318"/>
    </row>
    <row r="39" spans="1:13" s="12" customFormat="1" ht="26.25" customHeight="1" x14ac:dyDescent="0.3">
      <c r="A39" s="325" t="s">
        <v>68</v>
      </c>
      <c r="B39" s="326">
        <v>1</v>
      </c>
      <c r="C39" s="335">
        <v>2</v>
      </c>
      <c r="D39" s="336">
        <v>14982243</v>
      </c>
      <c r="E39" s="337">
        <f>IF(ISBLANK(D39),"-",$D$48/$D$45*D39)</f>
        <v>81473940.942955032</v>
      </c>
      <c r="F39" s="336">
        <v>17006662</v>
      </c>
      <c r="G39" s="338">
        <f>IF(ISBLANK(F39),"-",$D$48/$F$45*F39)</f>
        <v>81968705.04030557</v>
      </c>
      <c r="H39" s="322"/>
      <c r="I39" s="312"/>
      <c r="J39" s="312"/>
      <c r="K39" s="317"/>
      <c r="L39" s="317"/>
      <c r="M39" s="318"/>
    </row>
    <row r="40" spans="1:13" ht="26.25" customHeight="1" x14ac:dyDescent="0.3">
      <c r="A40" s="325" t="s">
        <v>69</v>
      </c>
      <c r="B40" s="326">
        <v>1</v>
      </c>
      <c r="C40" s="335">
        <v>3</v>
      </c>
      <c r="D40" s="336">
        <v>14942967</v>
      </c>
      <c r="E40" s="337">
        <f>IF(ISBLANK(D40),"-",$D$48/$D$45*D40)</f>
        <v>81260356.735004634</v>
      </c>
      <c r="F40" s="336">
        <v>16913374</v>
      </c>
      <c r="G40" s="338">
        <f>IF(ISBLANK(F40),"-",$D$48/$F$45*F40)</f>
        <v>81519075.562410384</v>
      </c>
      <c r="K40" s="317"/>
      <c r="L40" s="317"/>
      <c r="M40" s="339"/>
    </row>
    <row r="41" spans="1:13" ht="26.25" customHeight="1" x14ac:dyDescent="0.3">
      <c r="A41" s="325" t="s">
        <v>70</v>
      </c>
      <c r="B41" s="326">
        <v>1</v>
      </c>
      <c r="C41" s="340">
        <v>4</v>
      </c>
      <c r="D41" s="341"/>
      <c r="E41" s="342" t="str">
        <f>IF(ISBLANK(D41),"-",$D$48/$D$45*D41)</f>
        <v>-</v>
      </c>
      <c r="F41" s="341"/>
      <c r="G41" s="343" t="str">
        <f>IF(ISBLANK(F41),"-",$D$48/$F$45*F41)</f>
        <v>-</v>
      </c>
      <c r="K41" s="317"/>
      <c r="L41" s="317"/>
      <c r="M41" s="339"/>
    </row>
    <row r="42" spans="1:13" ht="27" customHeight="1" x14ac:dyDescent="0.25">
      <c r="A42" s="325" t="s">
        <v>71</v>
      </c>
      <c r="B42" s="326">
        <v>1</v>
      </c>
      <c r="C42" s="344" t="s">
        <v>72</v>
      </c>
      <c r="D42" s="345">
        <f>AVERAGE(D38:D41)</f>
        <v>14991720.333333334</v>
      </c>
      <c r="E42" s="346">
        <f>AVERAGE(E38:E41)</f>
        <v>81525479.000126883</v>
      </c>
      <c r="F42" s="347">
        <f>AVERAGE(F38:F41)</f>
        <v>17001063.666666668</v>
      </c>
      <c r="G42" s="348">
        <f>AVERAGE(G38:G41)</f>
        <v>81941722.194776133</v>
      </c>
      <c r="H42" s="349"/>
    </row>
    <row r="43" spans="1:13" ht="26.25" customHeight="1" x14ac:dyDescent="0.3">
      <c r="A43" s="325" t="s">
        <v>73</v>
      </c>
      <c r="B43" s="310">
        <v>1</v>
      </c>
      <c r="C43" s="350" t="s">
        <v>104</v>
      </c>
      <c r="D43" s="351">
        <v>19.88</v>
      </c>
      <c r="E43" s="352"/>
      <c r="F43" s="353">
        <v>22.43</v>
      </c>
      <c r="H43" s="349"/>
    </row>
    <row r="44" spans="1:13" ht="26.25" customHeight="1" x14ac:dyDescent="0.3">
      <c r="A44" s="325" t="s">
        <v>74</v>
      </c>
      <c r="B44" s="310">
        <v>1</v>
      </c>
      <c r="C44" s="354" t="s">
        <v>105</v>
      </c>
      <c r="D44" s="355">
        <f>D43*$B$34</f>
        <v>19.88</v>
      </c>
      <c r="E44" s="356"/>
      <c r="F44" s="357">
        <f>F43*$B$34</f>
        <v>22.43</v>
      </c>
      <c r="H44" s="349"/>
    </row>
    <row r="45" spans="1:13" ht="19.5" customHeight="1" x14ac:dyDescent="0.3">
      <c r="A45" s="325" t="s">
        <v>75</v>
      </c>
      <c r="B45" s="358">
        <f>(B44/B43)*(B42/B41)*(B40/B39)*(B38/B37)*B36</f>
        <v>2000</v>
      </c>
      <c r="C45" s="354" t="s">
        <v>76</v>
      </c>
      <c r="D45" s="359">
        <f>D44*$B$30/100</f>
        <v>18.388999999999999</v>
      </c>
      <c r="E45" s="360"/>
      <c r="F45" s="361">
        <f>F44*$B$30/100</f>
        <v>20.74775</v>
      </c>
      <c r="H45" s="349"/>
    </row>
    <row r="46" spans="1:13" ht="19.5" customHeight="1" x14ac:dyDescent="0.3">
      <c r="A46" s="515" t="s">
        <v>77</v>
      </c>
      <c r="B46" s="516"/>
      <c r="C46" s="354" t="s">
        <v>78</v>
      </c>
      <c r="D46" s="355">
        <f>D45/$B$45</f>
        <v>9.1944999999999995E-3</v>
      </c>
      <c r="E46" s="360"/>
      <c r="F46" s="362">
        <f>F45/$B$45</f>
        <v>1.0373874999999999E-2</v>
      </c>
      <c r="H46" s="349"/>
    </row>
    <row r="47" spans="1:13" ht="27" customHeight="1" x14ac:dyDescent="0.3">
      <c r="A47" s="517"/>
      <c r="B47" s="518"/>
      <c r="C47" s="354" t="s">
        <v>115</v>
      </c>
      <c r="D47" s="363">
        <v>0.05</v>
      </c>
      <c r="F47" s="364"/>
      <c r="H47" s="349"/>
    </row>
    <row r="48" spans="1:13" ht="18.75" x14ac:dyDescent="0.3">
      <c r="C48" s="354" t="s">
        <v>79</v>
      </c>
      <c r="D48" s="355">
        <f>D47*$B$45</f>
        <v>100</v>
      </c>
      <c r="F48" s="364"/>
      <c r="H48" s="349"/>
    </row>
    <row r="49" spans="1:11" ht="19.5" customHeight="1" x14ac:dyDescent="0.3">
      <c r="C49" s="365" t="s">
        <v>80</v>
      </c>
      <c r="D49" s="366">
        <f>D48/B34</f>
        <v>100</v>
      </c>
      <c r="F49" s="367"/>
      <c r="H49" s="349"/>
    </row>
    <row r="50" spans="1:11" ht="18.75" x14ac:dyDescent="0.3">
      <c r="C50" s="368" t="s">
        <v>81</v>
      </c>
      <c r="D50" s="369">
        <f>AVERAGE(E38:E41,G38:G41)</f>
        <v>81733600.597451508</v>
      </c>
      <c r="F50" s="367"/>
      <c r="H50" s="349"/>
    </row>
    <row r="51" spans="1:11" ht="18.75" x14ac:dyDescent="0.3">
      <c r="C51" s="370" t="s">
        <v>82</v>
      </c>
      <c r="D51" s="371">
        <f>STDEV(E38:E41,G38:G41)/D50</f>
        <v>4.7982391713248217E-3</v>
      </c>
      <c r="F51" s="367"/>
    </row>
    <row r="52" spans="1:11" ht="19.5" customHeight="1" x14ac:dyDescent="0.3">
      <c r="C52" s="372" t="s">
        <v>20</v>
      </c>
      <c r="D52" s="373">
        <f>COUNT(E38:E41,G38:G41)</f>
        <v>6</v>
      </c>
      <c r="F52" s="367"/>
    </row>
    <row r="54" spans="1:11" ht="18.75" x14ac:dyDescent="0.3">
      <c r="A54" s="374" t="s">
        <v>1</v>
      </c>
      <c r="B54" s="375" t="s">
        <v>83</v>
      </c>
    </row>
    <row r="55" spans="1:11" ht="18.75" x14ac:dyDescent="0.3">
      <c r="A55" s="303" t="s">
        <v>84</v>
      </c>
      <c r="B55" s="376" t="str">
        <f>B21</f>
        <v>Each hard gelatin capsule contains: Rabeprazole Sodium (enteric coated) 20 mg, 
Itopride hydrochloride (Sustained Release) 150 mg</v>
      </c>
    </row>
    <row r="56" spans="1:11" ht="26.25" customHeight="1" x14ac:dyDescent="0.3">
      <c r="A56" s="377" t="s">
        <v>116</v>
      </c>
      <c r="B56" s="311">
        <v>20</v>
      </c>
      <c r="C56" s="303" t="str">
        <f>B20</f>
        <v>Rabeprazole sodium  &amp; Itopride hydrochloride</v>
      </c>
      <c r="H56" s="378"/>
    </row>
    <row r="57" spans="1:11" ht="18.75" x14ac:dyDescent="0.3">
      <c r="A57" s="376" t="s">
        <v>117</v>
      </c>
      <c r="B57" s="479">
        <f>Uniformity!B47</f>
        <v>356.62599999999998</v>
      </c>
      <c r="H57" s="378"/>
    </row>
    <row r="58" spans="1:11" ht="19.5" customHeight="1" x14ac:dyDescent="0.3">
      <c r="H58" s="378"/>
    </row>
    <row r="59" spans="1:11" s="12" customFormat="1" ht="27" customHeight="1" x14ac:dyDescent="0.3">
      <c r="A59" s="323" t="s">
        <v>118</v>
      </c>
      <c r="B59" s="324">
        <v>100</v>
      </c>
      <c r="C59" s="303"/>
      <c r="D59" s="379" t="s">
        <v>85</v>
      </c>
      <c r="E59" s="380" t="s">
        <v>64</v>
      </c>
      <c r="F59" s="380" t="s">
        <v>65</v>
      </c>
      <c r="G59" s="380" t="s">
        <v>86</v>
      </c>
      <c r="H59" s="327" t="s">
        <v>87</v>
      </c>
      <c r="K59" s="312"/>
    </row>
    <row r="60" spans="1:11" s="12" customFormat="1" ht="26.25" customHeight="1" x14ac:dyDescent="0.3">
      <c r="A60" s="325" t="s">
        <v>110</v>
      </c>
      <c r="B60" s="326">
        <v>5</v>
      </c>
      <c r="C60" s="519" t="s">
        <v>88</v>
      </c>
      <c r="D60" s="522">
        <v>509.01</v>
      </c>
      <c r="E60" s="381">
        <v>1</v>
      </c>
      <c r="F60" s="382">
        <v>22353278</v>
      </c>
      <c r="G60" s="383">
        <f>IF(ISBLANK(F60),"-",(F60/$D$50*$D$47*$B$68)*($B$57/$D$60))</f>
        <v>19.161401719248158</v>
      </c>
      <c r="H60" s="384">
        <f t="shared" ref="H60:H71" si="0">IF(ISBLANK(F60),"-",G60/$B$56)</f>
        <v>0.95807008596240784</v>
      </c>
      <c r="K60" s="312"/>
    </row>
    <row r="61" spans="1:11" s="12" customFormat="1" ht="26.25" customHeight="1" x14ac:dyDescent="0.3">
      <c r="A61" s="325" t="s">
        <v>89</v>
      </c>
      <c r="B61" s="326">
        <v>100</v>
      </c>
      <c r="C61" s="520"/>
      <c r="D61" s="523"/>
      <c r="E61" s="385">
        <v>2</v>
      </c>
      <c r="F61" s="336">
        <v>21978131</v>
      </c>
      <c r="G61" s="386">
        <f>IF(ISBLANK(F61),"-",(F61/$D$50*$D$47*$B$68)*($B$57/$D$60))</f>
        <v>18.839822827294554</v>
      </c>
      <c r="H61" s="387">
        <f t="shared" si="0"/>
        <v>0.94199114136472772</v>
      </c>
      <c r="K61" s="312"/>
    </row>
    <row r="62" spans="1:11" s="12" customFormat="1" ht="26.25" customHeight="1" x14ac:dyDescent="0.3">
      <c r="A62" s="325" t="s">
        <v>90</v>
      </c>
      <c r="B62" s="326">
        <v>1</v>
      </c>
      <c r="C62" s="520"/>
      <c r="D62" s="523"/>
      <c r="E62" s="385">
        <v>3</v>
      </c>
      <c r="F62" s="336">
        <v>21968709</v>
      </c>
      <c r="G62" s="386">
        <f>IF(ISBLANK(F62),"-",(F62/$D$50*$D$47*$B$68)*($B$57/$D$60))</f>
        <v>18.831746216472702</v>
      </c>
      <c r="H62" s="387">
        <f t="shared" si="0"/>
        <v>0.94158731082363512</v>
      </c>
      <c r="K62" s="312"/>
    </row>
    <row r="63" spans="1:11" ht="27" customHeight="1" x14ac:dyDescent="0.25">
      <c r="A63" s="325" t="s">
        <v>91</v>
      </c>
      <c r="B63" s="326">
        <v>1</v>
      </c>
      <c r="C63" s="521"/>
      <c r="D63" s="524"/>
      <c r="E63" s="388">
        <v>4</v>
      </c>
      <c r="F63" s="389"/>
      <c r="G63" s="386" t="str">
        <f>IF(ISBLANK(F63),"-",(F63/$D$50*$D$47*$B$68)*($B$57/$D$60))</f>
        <v>-</v>
      </c>
      <c r="H63" s="387" t="str">
        <f t="shared" si="0"/>
        <v>-</v>
      </c>
    </row>
    <row r="64" spans="1:11" ht="26.25" customHeight="1" x14ac:dyDescent="0.25">
      <c r="A64" s="325" t="s">
        <v>92</v>
      </c>
      <c r="B64" s="326">
        <v>1</v>
      </c>
      <c r="C64" s="519" t="s">
        <v>93</v>
      </c>
      <c r="D64" s="522">
        <v>482.61</v>
      </c>
      <c r="E64" s="381">
        <v>1</v>
      </c>
      <c r="F64" s="382">
        <v>20775251</v>
      </c>
      <c r="G64" s="390">
        <f>IF(ISBLANK(F64),"-",(F64/$D$50*$D$47*$B$68)*($B$57/$D$64))</f>
        <v>18.782886499156536</v>
      </c>
      <c r="H64" s="391">
        <f t="shared" si="0"/>
        <v>0.93914432495782685</v>
      </c>
    </row>
    <row r="65" spans="1:8" ht="26.25" customHeight="1" x14ac:dyDescent="0.25">
      <c r="A65" s="325" t="s">
        <v>94</v>
      </c>
      <c r="B65" s="326">
        <v>1</v>
      </c>
      <c r="C65" s="520"/>
      <c r="D65" s="523"/>
      <c r="E65" s="385">
        <v>2</v>
      </c>
      <c r="F65" s="336">
        <v>20383848</v>
      </c>
      <c r="G65" s="392">
        <f>IF(ISBLANK(F65),"-",(F65/$D$50*$D$47*$B$68)*($B$57/$D$64))</f>
        <v>18.429019384654318</v>
      </c>
      <c r="H65" s="393">
        <f t="shared" si="0"/>
        <v>0.92145096923271586</v>
      </c>
    </row>
    <row r="66" spans="1:8" ht="26.25" customHeight="1" x14ac:dyDescent="0.25">
      <c r="A66" s="325" t="s">
        <v>95</v>
      </c>
      <c r="B66" s="326">
        <v>1</v>
      </c>
      <c r="C66" s="520"/>
      <c r="D66" s="523"/>
      <c r="E66" s="385">
        <v>3</v>
      </c>
      <c r="F66" s="336">
        <v>20306199</v>
      </c>
      <c r="G66" s="392">
        <f>IF(ISBLANK(F66),"-",(F66/$D$50*$D$47*$B$68)*($B$57/$D$64))</f>
        <v>18.358816990768773</v>
      </c>
      <c r="H66" s="393">
        <f t="shared" si="0"/>
        <v>0.91794084953843869</v>
      </c>
    </row>
    <row r="67" spans="1:8" ht="27" customHeight="1" x14ac:dyDescent="0.25">
      <c r="A67" s="325" t="s">
        <v>96</v>
      </c>
      <c r="B67" s="326">
        <v>1</v>
      </c>
      <c r="C67" s="521"/>
      <c r="D67" s="524"/>
      <c r="E67" s="388">
        <v>4</v>
      </c>
      <c r="F67" s="389"/>
      <c r="G67" s="394" t="str">
        <f>IF(ISBLANK(F67),"-",(F67/$D$50*$D$47*$B$68)*($B$57/$D$64))</f>
        <v>-</v>
      </c>
      <c r="H67" s="395" t="str">
        <f t="shared" si="0"/>
        <v>-</v>
      </c>
    </row>
    <row r="68" spans="1:8" ht="26.25" customHeight="1" x14ac:dyDescent="0.25">
      <c r="A68" s="325" t="s">
        <v>97</v>
      </c>
      <c r="B68" s="396">
        <f>(B67/B66)*(B65/B64)*(B63/B62)*(B61/B60)*B59</f>
        <v>2000</v>
      </c>
      <c r="C68" s="519" t="s">
        <v>98</v>
      </c>
      <c r="D68" s="522">
        <v>471.48</v>
      </c>
      <c r="E68" s="381">
        <v>1</v>
      </c>
      <c r="F68" s="382">
        <v>20542771</v>
      </c>
      <c r="G68" s="390">
        <f>IF(ISBLANK(F68),"-",(F68/$D$50*$D$47*$B$68)*($B$57/$D$68))</f>
        <v>19.011138301222719</v>
      </c>
      <c r="H68" s="387">
        <f t="shared" si="0"/>
        <v>0.95055691506113593</v>
      </c>
    </row>
    <row r="69" spans="1:8" ht="27" customHeight="1" x14ac:dyDescent="0.25">
      <c r="A69" s="397" t="s">
        <v>99</v>
      </c>
      <c r="B69" s="481">
        <f>(D47*B68)/B56*B57</f>
        <v>1783.1299999999999</v>
      </c>
      <c r="C69" s="520"/>
      <c r="D69" s="523"/>
      <c r="E69" s="385">
        <v>2</v>
      </c>
      <c r="F69" s="336">
        <v>20524930</v>
      </c>
      <c r="G69" s="392">
        <f>IF(ISBLANK(F69),"-",(F69/$D$50*$D$47*$B$68)*($B$57/$D$68))</f>
        <v>18.994627494650807</v>
      </c>
      <c r="H69" s="387">
        <f t="shared" si="0"/>
        <v>0.94973137473254032</v>
      </c>
    </row>
    <row r="70" spans="1:8" ht="26.25" customHeight="1" x14ac:dyDescent="0.25">
      <c r="A70" s="525" t="s">
        <v>77</v>
      </c>
      <c r="B70" s="526"/>
      <c r="C70" s="520"/>
      <c r="D70" s="523"/>
      <c r="E70" s="385">
        <v>3</v>
      </c>
      <c r="F70" s="336">
        <v>20398780</v>
      </c>
      <c r="G70" s="392">
        <f>IF(ISBLANK(F70),"-",(F70/$D$50*$D$47*$B$68)*($B$57/$D$68))</f>
        <v>18.877883015695204</v>
      </c>
      <c r="H70" s="387">
        <f t="shared" si="0"/>
        <v>0.94389415078476024</v>
      </c>
    </row>
    <row r="71" spans="1:8" ht="27" customHeight="1" x14ac:dyDescent="0.25">
      <c r="A71" s="527"/>
      <c r="B71" s="528"/>
      <c r="C71" s="521"/>
      <c r="D71" s="524"/>
      <c r="E71" s="388">
        <v>4</v>
      </c>
      <c r="F71" s="389"/>
      <c r="G71" s="394" t="str">
        <f>IF(ISBLANK(F71),"-",(F71/$D$50*$D$47*$B$68)*($B$57/$D$68))</f>
        <v>-</v>
      </c>
      <c r="H71" s="398" t="str">
        <f t="shared" si="0"/>
        <v>-</v>
      </c>
    </row>
    <row r="72" spans="1:8" ht="26.25" customHeight="1" x14ac:dyDescent="0.25">
      <c r="A72" s="399"/>
      <c r="B72" s="399"/>
      <c r="C72" s="399"/>
      <c r="D72" s="399"/>
      <c r="E72" s="399"/>
      <c r="F72" s="400"/>
      <c r="G72" s="401" t="s">
        <v>72</v>
      </c>
      <c r="H72" s="402">
        <f>AVERAGE(H60:H71)</f>
        <v>0.94048523582868759</v>
      </c>
    </row>
    <row r="73" spans="1:8" ht="26.25" customHeight="1" x14ac:dyDescent="0.3">
      <c r="C73" s="399"/>
      <c r="D73" s="399"/>
      <c r="E73" s="399"/>
      <c r="F73" s="400"/>
      <c r="G73" s="370" t="s">
        <v>82</v>
      </c>
      <c r="H73" s="403">
        <f>STDEV(H60:H71)/H72</f>
        <v>1.3983308729076173E-2</v>
      </c>
    </row>
    <row r="74" spans="1:8" ht="27" customHeight="1" x14ac:dyDescent="0.25">
      <c r="A74" s="399"/>
      <c r="B74" s="399"/>
      <c r="C74" s="400"/>
      <c r="D74" s="400"/>
      <c r="E74" s="404"/>
      <c r="F74" s="400"/>
      <c r="G74" s="372" t="s">
        <v>20</v>
      </c>
      <c r="H74" s="405">
        <f>COUNT(H60:H71)</f>
        <v>9</v>
      </c>
    </row>
    <row r="75" spans="1:8" s="52" customFormat="1" ht="18.75" x14ac:dyDescent="0.2">
      <c r="A75" s="406"/>
      <c r="B75" s="406"/>
      <c r="C75" s="356"/>
      <c r="D75" s="356"/>
      <c r="E75" s="360"/>
      <c r="F75" s="356"/>
      <c r="G75" s="407"/>
      <c r="H75" s="408"/>
    </row>
    <row r="76" spans="1:8" s="52" customFormat="1" ht="26.25" customHeight="1" x14ac:dyDescent="0.2">
      <c r="A76" s="308" t="s">
        <v>119</v>
      </c>
      <c r="B76" s="409" t="s">
        <v>101</v>
      </c>
      <c r="C76" s="512" t="str">
        <f>B20</f>
        <v>Rabeprazole sodium  &amp; Itopride hydrochloride</v>
      </c>
      <c r="D76" s="512"/>
      <c r="E76" s="410" t="s">
        <v>102</v>
      </c>
      <c r="F76" s="410"/>
      <c r="G76" s="480">
        <f>H72</f>
        <v>0.94048523582868759</v>
      </c>
      <c r="H76" s="408"/>
    </row>
    <row r="77" spans="1:8" ht="18.75" x14ac:dyDescent="0.25">
      <c r="A77" s="399"/>
      <c r="B77" s="399"/>
      <c r="C77" s="400"/>
      <c r="D77" s="400"/>
      <c r="E77" s="404"/>
      <c r="F77" s="400"/>
      <c r="G77" s="411"/>
      <c r="H77" s="408"/>
    </row>
    <row r="78" spans="1:8" ht="18.75" x14ac:dyDescent="0.3">
      <c r="A78" s="307"/>
      <c r="B78" s="307" t="s">
        <v>103</v>
      </c>
    </row>
    <row r="79" spans="1:8" ht="18.75" x14ac:dyDescent="0.3">
      <c r="A79" s="307"/>
      <c r="B79" s="307"/>
    </row>
    <row r="80" spans="1:8" ht="26.25" customHeight="1" x14ac:dyDescent="0.3">
      <c r="A80" s="308" t="s">
        <v>4</v>
      </c>
      <c r="B80" s="311" t="str">
        <f>B26</f>
        <v>Rabeprazole</v>
      </c>
    </row>
    <row r="81" spans="1:11" ht="26.25" customHeight="1" x14ac:dyDescent="0.3">
      <c r="A81" s="309" t="s">
        <v>52</v>
      </c>
      <c r="B81" s="311" t="str">
        <f>B27</f>
        <v>Ws-16/15-16</v>
      </c>
    </row>
    <row r="82" spans="1:11" ht="27" customHeight="1" x14ac:dyDescent="0.3">
      <c r="A82" s="309" t="s">
        <v>6</v>
      </c>
      <c r="B82" s="311">
        <f>B28</f>
        <v>99</v>
      </c>
    </row>
    <row r="83" spans="1:11" s="12" customFormat="1" ht="27" customHeight="1" x14ac:dyDescent="0.3">
      <c r="A83" s="309" t="s">
        <v>53</v>
      </c>
      <c r="B83" s="311">
        <f>B29</f>
        <v>6.5</v>
      </c>
      <c r="C83" s="509" t="s">
        <v>113</v>
      </c>
      <c r="D83" s="510"/>
      <c r="E83" s="510"/>
      <c r="F83" s="510"/>
      <c r="G83" s="510"/>
      <c r="H83" s="511"/>
      <c r="I83" s="312"/>
      <c r="J83" s="312"/>
      <c r="K83" s="312"/>
    </row>
    <row r="84" spans="1:11" s="12" customFormat="1" ht="19.5" customHeight="1" x14ac:dyDescent="0.3">
      <c r="A84" s="309" t="s">
        <v>54</v>
      </c>
      <c r="B84" s="313">
        <f>B82-B83</f>
        <v>92.5</v>
      </c>
      <c r="C84" s="314"/>
      <c r="D84" s="314"/>
      <c r="E84" s="314"/>
      <c r="F84" s="314"/>
      <c r="G84" s="314"/>
      <c r="H84" s="315"/>
      <c r="I84" s="312"/>
      <c r="J84" s="312"/>
      <c r="K84" s="312"/>
    </row>
    <row r="85" spans="1:11" s="12" customFormat="1" ht="27" customHeight="1" x14ac:dyDescent="0.3">
      <c r="A85" s="309" t="s">
        <v>55</v>
      </c>
      <c r="B85" s="316">
        <v>1</v>
      </c>
      <c r="C85" s="497" t="s">
        <v>56</v>
      </c>
      <c r="D85" s="498"/>
      <c r="E85" s="498"/>
      <c r="F85" s="498"/>
      <c r="G85" s="498"/>
      <c r="H85" s="499"/>
      <c r="I85" s="312"/>
      <c r="J85" s="312"/>
      <c r="K85" s="312"/>
    </row>
    <row r="86" spans="1:11" s="12" customFormat="1" ht="27" customHeight="1" x14ac:dyDescent="0.3">
      <c r="A86" s="309" t="s">
        <v>57</v>
      </c>
      <c r="B86" s="316">
        <v>1</v>
      </c>
      <c r="C86" s="497" t="s">
        <v>58</v>
      </c>
      <c r="D86" s="498"/>
      <c r="E86" s="498"/>
      <c r="F86" s="498"/>
      <c r="G86" s="498"/>
      <c r="H86" s="499"/>
      <c r="I86" s="312"/>
      <c r="J86" s="312"/>
      <c r="K86" s="312"/>
    </row>
    <row r="87" spans="1:11" s="12" customFormat="1" ht="18.75" x14ac:dyDescent="0.3">
      <c r="A87" s="309"/>
      <c r="B87" s="319"/>
      <c r="C87" s="320"/>
      <c r="D87" s="320"/>
      <c r="E87" s="320"/>
      <c r="F87" s="320"/>
      <c r="G87" s="320"/>
      <c r="H87" s="320"/>
      <c r="I87" s="312"/>
      <c r="J87" s="312"/>
      <c r="K87" s="312"/>
    </row>
    <row r="88" spans="1:11" s="12" customFormat="1" ht="18.75" x14ac:dyDescent="0.3">
      <c r="A88" s="309" t="s">
        <v>59</v>
      </c>
      <c r="B88" s="321">
        <f>B85/B86</f>
        <v>1</v>
      </c>
      <c r="C88" s="303" t="s">
        <v>60</v>
      </c>
      <c r="D88" s="303"/>
      <c r="E88" s="303"/>
      <c r="F88" s="303"/>
      <c r="G88" s="303"/>
      <c r="H88" s="322"/>
      <c r="I88" s="312"/>
      <c r="J88" s="312"/>
      <c r="K88" s="312"/>
    </row>
    <row r="89" spans="1:11" ht="19.5" customHeight="1" x14ac:dyDescent="0.3">
      <c r="A89" s="307"/>
      <c r="B89" s="307"/>
    </row>
    <row r="90" spans="1:11" ht="27" customHeight="1" x14ac:dyDescent="0.3">
      <c r="A90" s="323" t="s">
        <v>114</v>
      </c>
      <c r="B90" s="324">
        <v>100</v>
      </c>
      <c r="D90" s="412" t="s">
        <v>61</v>
      </c>
      <c r="E90" s="413"/>
      <c r="F90" s="513" t="s">
        <v>62</v>
      </c>
      <c r="G90" s="514"/>
    </row>
    <row r="91" spans="1:11" ht="26.25" customHeight="1" x14ac:dyDescent="0.3">
      <c r="A91" s="325" t="s">
        <v>63</v>
      </c>
      <c r="B91" s="326">
        <v>5</v>
      </c>
      <c r="C91" s="414" t="s">
        <v>64</v>
      </c>
      <c r="D91" s="328" t="s">
        <v>65</v>
      </c>
      <c r="E91" s="329" t="s">
        <v>66</v>
      </c>
      <c r="F91" s="328" t="s">
        <v>65</v>
      </c>
      <c r="G91" s="330" t="s">
        <v>66</v>
      </c>
    </row>
    <row r="92" spans="1:11" ht="26.25" customHeight="1" x14ac:dyDescent="0.3">
      <c r="A92" s="325" t="s">
        <v>67</v>
      </c>
      <c r="B92" s="326">
        <v>50</v>
      </c>
      <c r="C92" s="415">
        <v>1</v>
      </c>
      <c r="D92" s="332">
        <v>15227036</v>
      </c>
      <c r="E92" s="333">
        <f>IF(ISBLANK(D92),"-",$D$102/$D$99*D92)</f>
        <v>13565439.258789076</v>
      </c>
      <c r="F92" s="332">
        <v>16909037</v>
      </c>
      <c r="G92" s="334">
        <f>IF(ISBLANK(F92),"-",$D$102/$F$99*F92)</f>
        <v>13490804.42804428</v>
      </c>
    </row>
    <row r="93" spans="1:11" ht="26.25" customHeight="1" x14ac:dyDescent="0.3">
      <c r="A93" s="325" t="s">
        <v>68</v>
      </c>
      <c r="B93" s="326">
        <v>1</v>
      </c>
      <c r="C93" s="400">
        <v>2</v>
      </c>
      <c r="D93" s="336">
        <v>15172014</v>
      </c>
      <c r="E93" s="337">
        <f>IF(ISBLANK(D93),"-",$D$102/$D$99*D93)</f>
        <v>13516421.340994891</v>
      </c>
      <c r="F93" s="336">
        <v>16905286</v>
      </c>
      <c r="G93" s="338">
        <f>IF(ISBLANK(F93),"-",$D$102/$F$99*F93)</f>
        <v>13487811.708387354</v>
      </c>
    </row>
    <row r="94" spans="1:11" ht="26.25" customHeight="1" x14ac:dyDescent="0.3">
      <c r="A94" s="325" t="s">
        <v>69</v>
      </c>
      <c r="B94" s="326">
        <v>1</v>
      </c>
      <c r="C94" s="400">
        <v>3</v>
      </c>
      <c r="D94" s="336">
        <v>15198012</v>
      </c>
      <c r="E94" s="337">
        <f>IF(ISBLANK(D94),"-",$D$102/$D$99*D94)</f>
        <v>13539582.400694886</v>
      </c>
      <c r="F94" s="336">
        <v>16910511</v>
      </c>
      <c r="G94" s="338">
        <f>IF(ISBLANK(F94),"-",$D$102/$F$99*F94)</f>
        <v>13491980.452777501</v>
      </c>
    </row>
    <row r="95" spans="1:11" ht="26.25" customHeight="1" x14ac:dyDescent="0.3">
      <c r="A95" s="325" t="s">
        <v>70</v>
      </c>
      <c r="B95" s="326">
        <v>1</v>
      </c>
      <c r="C95" s="416">
        <v>4</v>
      </c>
      <c r="D95" s="341"/>
      <c r="E95" s="342" t="str">
        <f>IF(ISBLANK(D95),"-",$D$102/$D$99*D95)</f>
        <v>-</v>
      </c>
      <c r="F95" s="417"/>
      <c r="G95" s="343" t="str">
        <f>IF(ISBLANK(F95),"-",$D$102/$F$99*F95)</f>
        <v>-</v>
      </c>
    </row>
    <row r="96" spans="1:11" ht="27" customHeight="1" x14ac:dyDescent="0.3">
      <c r="A96" s="325" t="s">
        <v>71</v>
      </c>
      <c r="B96" s="326">
        <v>1</v>
      </c>
      <c r="C96" s="411" t="s">
        <v>72</v>
      </c>
      <c r="D96" s="418">
        <f>AVERAGE(D92:D95)</f>
        <v>15199020.666666666</v>
      </c>
      <c r="E96" s="346">
        <f>AVERAGE(E92:E95)</f>
        <v>13540481.000159616</v>
      </c>
      <c r="F96" s="419">
        <f>AVERAGE(F92:F95)</f>
        <v>16908278</v>
      </c>
      <c r="G96" s="420">
        <f>AVERAGE(G92:G95)</f>
        <v>13490198.863069713</v>
      </c>
    </row>
    <row r="97" spans="1:9" ht="26.25" customHeight="1" x14ac:dyDescent="0.3">
      <c r="A97" s="325" t="s">
        <v>73</v>
      </c>
      <c r="B97" s="310">
        <v>1</v>
      </c>
      <c r="C97" s="350" t="s">
        <v>104</v>
      </c>
      <c r="D97" s="421">
        <v>24.27</v>
      </c>
      <c r="E97" s="352"/>
      <c r="F97" s="353">
        <v>27.1</v>
      </c>
    </row>
    <row r="98" spans="1:9" ht="26.25" customHeight="1" x14ac:dyDescent="0.3">
      <c r="A98" s="325" t="s">
        <v>74</v>
      </c>
      <c r="B98" s="310">
        <v>1</v>
      </c>
      <c r="C98" s="354" t="s">
        <v>105</v>
      </c>
      <c r="D98" s="355">
        <f>D97*$B$88</f>
        <v>24.27</v>
      </c>
      <c r="E98" s="356"/>
      <c r="F98" s="357">
        <f>F97*$B$88</f>
        <v>27.1</v>
      </c>
    </row>
    <row r="99" spans="1:9" ht="19.5" customHeight="1" x14ac:dyDescent="0.3">
      <c r="A99" s="325" t="s">
        <v>75</v>
      </c>
      <c r="B99" s="358">
        <f>(B98/B97)*(B96/B95)*(B94/B93)*(B92/B91)*B90</f>
        <v>1000</v>
      </c>
      <c r="C99" s="354" t="s">
        <v>76</v>
      </c>
      <c r="D99" s="359">
        <f>D98*$B$84/100</f>
        <v>22.449749999999998</v>
      </c>
      <c r="E99" s="360"/>
      <c r="F99" s="361">
        <f>F98*$B$84/100</f>
        <v>25.067499999999999</v>
      </c>
    </row>
    <row r="100" spans="1:9" ht="19.5" customHeight="1" x14ac:dyDescent="0.25">
      <c r="A100" s="515" t="s">
        <v>77</v>
      </c>
      <c r="B100" s="531"/>
      <c r="C100" s="354" t="s">
        <v>78</v>
      </c>
      <c r="D100" s="422">
        <f>D99/$B$99</f>
        <v>2.2449749999999997E-2</v>
      </c>
      <c r="E100" s="360"/>
      <c r="F100" s="423">
        <f>F99/$B$99</f>
        <v>2.50675E-2</v>
      </c>
      <c r="G100" s="424"/>
      <c r="H100" s="349"/>
    </row>
    <row r="101" spans="1:9" ht="19.5" customHeight="1" x14ac:dyDescent="0.3">
      <c r="A101" s="517"/>
      <c r="B101" s="532"/>
      <c r="C101" s="354" t="s">
        <v>115</v>
      </c>
      <c r="D101" s="425">
        <v>0.02</v>
      </c>
      <c r="F101" s="364"/>
      <c r="G101" s="426"/>
      <c r="H101" s="349"/>
    </row>
    <row r="102" spans="1:9" ht="18.75" x14ac:dyDescent="0.3">
      <c r="C102" s="354" t="s">
        <v>79</v>
      </c>
      <c r="D102" s="355">
        <f>D101*$B$99</f>
        <v>20</v>
      </c>
      <c r="F102" s="364"/>
      <c r="G102" s="424"/>
      <c r="H102" s="349"/>
    </row>
    <row r="103" spans="1:9" ht="19.5" customHeight="1" x14ac:dyDescent="0.3">
      <c r="C103" s="365" t="s">
        <v>80</v>
      </c>
      <c r="D103" s="427">
        <f>D102/B34</f>
        <v>20</v>
      </c>
      <c r="F103" s="367"/>
      <c r="G103" s="424"/>
      <c r="H103" s="349"/>
      <c r="I103" s="428"/>
    </row>
    <row r="104" spans="1:9" ht="18.75" x14ac:dyDescent="0.3">
      <c r="C104" s="368" t="s">
        <v>106</v>
      </c>
      <c r="D104" s="369">
        <f>AVERAGE(E92:E95,G92:G95)</f>
        <v>13515339.931614665</v>
      </c>
      <c r="F104" s="367"/>
      <c r="G104" s="429"/>
      <c r="H104" s="349"/>
      <c r="I104" s="430"/>
    </row>
    <row r="105" spans="1:9" ht="18.75" x14ac:dyDescent="0.3">
      <c r="C105" s="370" t="s">
        <v>82</v>
      </c>
      <c r="D105" s="431">
        <f>STDEV(E92:E95,G92:G95)/D104</f>
        <v>2.3407677774476702E-3</v>
      </c>
      <c r="F105" s="367"/>
      <c r="G105" s="424"/>
      <c r="H105" s="349"/>
      <c r="I105" s="430"/>
    </row>
    <row r="106" spans="1:9" ht="19.5" customHeight="1" x14ac:dyDescent="0.3">
      <c r="C106" s="372" t="s">
        <v>20</v>
      </c>
      <c r="D106" s="432">
        <f>COUNT(E92:E95,G92:G95)</f>
        <v>6</v>
      </c>
      <c r="F106" s="367"/>
      <c r="G106" s="424"/>
      <c r="H106" s="349"/>
      <c r="I106" s="430"/>
    </row>
    <row r="107" spans="1:9" s="52" customFormat="1" ht="18.75" x14ac:dyDescent="0.3">
      <c r="A107" s="433"/>
      <c r="B107" s="433"/>
      <c r="C107" s="407"/>
      <c r="D107" s="408"/>
      <c r="E107" s="433"/>
      <c r="F107" s="367"/>
      <c r="G107" s="434"/>
      <c r="H107" s="435"/>
      <c r="I107" s="430"/>
    </row>
    <row r="108" spans="1:9" s="52" customFormat="1" ht="18.75" x14ac:dyDescent="0.3">
      <c r="A108" s="307" t="s">
        <v>120</v>
      </c>
      <c r="B108" s="433"/>
      <c r="C108" s="407"/>
      <c r="D108" s="408"/>
      <c r="E108" s="433"/>
      <c r="F108" s="367"/>
      <c r="G108" s="434"/>
      <c r="H108" s="435"/>
      <c r="I108" s="430"/>
    </row>
    <row r="109" spans="1:9" ht="19.5" customHeight="1" x14ac:dyDescent="0.3">
      <c r="A109" s="374"/>
      <c r="B109" s="374"/>
      <c r="C109" s="374"/>
      <c r="D109" s="374"/>
      <c r="E109" s="374"/>
    </row>
    <row r="110" spans="1:9" ht="26.25" customHeight="1" x14ac:dyDescent="0.3">
      <c r="A110" s="323" t="s">
        <v>107</v>
      </c>
      <c r="B110" s="324">
        <v>900</v>
      </c>
      <c r="C110" s="436" t="s">
        <v>40</v>
      </c>
      <c r="D110" s="437" t="s">
        <v>65</v>
      </c>
      <c r="E110" s="438" t="s">
        <v>108</v>
      </c>
      <c r="F110" s="439" t="s">
        <v>109</v>
      </c>
    </row>
    <row r="111" spans="1:9" ht="26.25" customHeight="1" x14ac:dyDescent="0.3">
      <c r="A111" s="325" t="s">
        <v>110</v>
      </c>
      <c r="B111" s="326">
        <v>1</v>
      </c>
      <c r="C111" s="440">
        <v>1</v>
      </c>
      <c r="D111" s="441">
        <v>14268631</v>
      </c>
      <c r="E111" s="442">
        <f t="shared" ref="E111:E116" si="1">IF(ISBLANK(D111),"-",D111/$D$104*$D$101*$B$119)</f>
        <v>19.003248109151784</v>
      </c>
      <c r="F111" s="443">
        <f t="shared" ref="F111:F116" si="2">IF(ISBLANK(D111), "-", E111/$B$56)</f>
        <v>0.95016240545758923</v>
      </c>
    </row>
    <row r="112" spans="1:9" ht="26.25" customHeight="1" x14ac:dyDescent="0.3">
      <c r="A112" s="325" t="s">
        <v>89</v>
      </c>
      <c r="B112" s="326">
        <v>1</v>
      </c>
      <c r="C112" s="440">
        <v>2</v>
      </c>
      <c r="D112" s="441">
        <v>14214175</v>
      </c>
      <c r="E112" s="444">
        <f t="shared" si="1"/>
        <v>18.93072251934349</v>
      </c>
      <c r="F112" s="443">
        <f t="shared" si="2"/>
        <v>0.94653612596717451</v>
      </c>
    </row>
    <row r="113" spans="1:9" ht="26.25" customHeight="1" x14ac:dyDescent="0.3">
      <c r="A113" s="325" t="s">
        <v>90</v>
      </c>
      <c r="B113" s="326">
        <v>1</v>
      </c>
      <c r="C113" s="440">
        <v>3</v>
      </c>
      <c r="D113" s="441">
        <v>14250484</v>
      </c>
      <c r="E113" s="444">
        <f t="shared" si="1"/>
        <v>18.979079571649009</v>
      </c>
      <c r="F113" s="443">
        <f>IF(ISBLANK(D113), "-", E113/$B$56)</f>
        <v>0.94895397858245045</v>
      </c>
    </row>
    <row r="114" spans="1:9" ht="26.25" customHeight="1" x14ac:dyDescent="0.3">
      <c r="A114" s="325" t="s">
        <v>91</v>
      </c>
      <c r="B114" s="326">
        <v>1</v>
      </c>
      <c r="C114" s="440">
        <v>4</v>
      </c>
      <c r="D114" s="441">
        <v>14054744</v>
      </c>
      <c r="E114" s="444">
        <f t="shared" si="1"/>
        <v>18.718389125250518</v>
      </c>
      <c r="F114" s="443">
        <f t="shared" si="2"/>
        <v>0.93591945626252593</v>
      </c>
    </row>
    <row r="115" spans="1:9" ht="26.25" customHeight="1" x14ac:dyDescent="0.3">
      <c r="A115" s="325" t="s">
        <v>92</v>
      </c>
      <c r="B115" s="326">
        <v>1</v>
      </c>
      <c r="C115" s="440">
        <v>5</v>
      </c>
      <c r="D115" s="441">
        <v>14232573</v>
      </c>
      <c r="E115" s="444">
        <f t="shared" si="1"/>
        <v>18.955225343665749</v>
      </c>
      <c r="F115" s="443">
        <f t="shared" si="2"/>
        <v>0.94776126718328746</v>
      </c>
    </row>
    <row r="116" spans="1:9" ht="26.25" customHeight="1" x14ac:dyDescent="0.3">
      <c r="A116" s="325" t="s">
        <v>94</v>
      </c>
      <c r="B116" s="326">
        <v>1</v>
      </c>
      <c r="C116" s="446">
        <v>6</v>
      </c>
      <c r="D116" s="447">
        <v>14066493</v>
      </c>
      <c r="E116" s="448">
        <f t="shared" si="1"/>
        <v>18.734036678406415</v>
      </c>
      <c r="F116" s="443">
        <f t="shared" si="2"/>
        <v>0.9367018339203208</v>
      </c>
    </row>
    <row r="117" spans="1:9" ht="26.25" customHeight="1" x14ac:dyDescent="0.3">
      <c r="A117" s="325" t="s">
        <v>95</v>
      </c>
      <c r="B117" s="326">
        <v>1</v>
      </c>
      <c r="C117" s="440"/>
      <c r="D117" s="400"/>
      <c r="E117" s="410"/>
      <c r="F117" s="450"/>
    </row>
    <row r="118" spans="1:9" ht="26.25" customHeight="1" x14ac:dyDescent="0.3">
      <c r="A118" s="325" t="s">
        <v>96</v>
      </c>
      <c r="B118" s="326">
        <v>1</v>
      </c>
      <c r="C118" s="440"/>
      <c r="D118" s="451"/>
      <c r="E118" s="452" t="s">
        <v>72</v>
      </c>
      <c r="F118" s="453">
        <f>AVERAGE(F111:F116)</f>
        <v>0.9443391778955581</v>
      </c>
    </row>
    <row r="119" spans="1:9" ht="27" customHeight="1" x14ac:dyDescent="0.3">
      <c r="A119" s="325" t="s">
        <v>97</v>
      </c>
      <c r="B119" s="454">
        <f>(B118/B117)*(B116/B115)*(B114/B113)*(B112/B111)*B110</f>
        <v>900</v>
      </c>
      <c r="C119" s="455"/>
      <c r="D119" s="456"/>
      <c r="E119" s="411" t="s">
        <v>82</v>
      </c>
      <c r="F119" s="457">
        <f>STDEV(F111:F116)/F118</f>
        <v>6.7134619147763957E-3</v>
      </c>
    </row>
    <row r="120" spans="1:9" ht="27" customHeight="1" x14ac:dyDescent="0.3">
      <c r="A120" s="515" t="s">
        <v>77</v>
      </c>
      <c r="B120" s="516"/>
      <c r="C120" s="458"/>
      <c r="D120" s="459"/>
      <c r="E120" s="460" t="s">
        <v>20</v>
      </c>
      <c r="F120" s="461">
        <f>COUNT(F111:F116)</f>
        <v>6</v>
      </c>
      <c r="I120" s="430"/>
    </row>
    <row r="121" spans="1:9" ht="19.5" customHeight="1" x14ac:dyDescent="0.25">
      <c r="A121" s="517"/>
      <c r="B121" s="518"/>
      <c r="C121" s="410"/>
      <c r="D121" s="410"/>
      <c r="E121" s="410"/>
      <c r="F121" s="400"/>
      <c r="G121" s="410"/>
      <c r="H121" s="410"/>
    </row>
    <row r="122" spans="1:9" ht="18.75" x14ac:dyDescent="0.25">
      <c r="A122" s="320"/>
      <c r="B122" s="320"/>
      <c r="C122" s="410"/>
      <c r="D122" s="410"/>
      <c r="E122" s="410"/>
      <c r="F122" s="400"/>
      <c r="G122" s="410"/>
      <c r="H122" s="410"/>
    </row>
    <row r="123" spans="1:9" ht="26.25" customHeight="1" x14ac:dyDescent="0.25">
      <c r="A123" s="308" t="s">
        <v>100</v>
      </c>
      <c r="B123" s="409" t="s">
        <v>111</v>
      </c>
      <c r="C123" s="512" t="str">
        <f>B20</f>
        <v>Rabeprazole sodium  &amp; Itopride hydrochloride</v>
      </c>
      <c r="D123" s="512"/>
      <c r="E123" s="410" t="s">
        <v>112</v>
      </c>
      <c r="F123" s="410"/>
      <c r="G123" s="480">
        <f>F118</f>
        <v>0.9443391778955581</v>
      </c>
      <c r="H123" s="410"/>
    </row>
    <row r="124" spans="1:9" ht="18.75" x14ac:dyDescent="0.25">
      <c r="A124" s="320"/>
      <c r="B124" s="320"/>
      <c r="C124" s="410"/>
      <c r="D124" s="410"/>
      <c r="E124" s="410"/>
      <c r="F124" s="400"/>
      <c r="G124" s="410"/>
      <c r="H124" s="410"/>
    </row>
    <row r="125" spans="1:9" ht="18.75" x14ac:dyDescent="0.3">
      <c r="A125" s="307" t="s">
        <v>121</v>
      </c>
      <c r="B125" s="307"/>
    </row>
    <row r="126" spans="1:9" ht="19.5" customHeight="1" x14ac:dyDescent="0.3">
      <c r="A126" s="374"/>
      <c r="B126" s="374"/>
      <c r="C126" s="374"/>
      <c r="D126" s="374"/>
      <c r="E126" s="374"/>
    </row>
    <row r="127" spans="1:9" ht="26.25" customHeight="1" x14ac:dyDescent="0.3">
      <c r="A127" s="323" t="s">
        <v>107</v>
      </c>
      <c r="B127" s="324">
        <v>900</v>
      </c>
      <c r="C127" s="436" t="s">
        <v>40</v>
      </c>
      <c r="D127" s="437" t="s">
        <v>65</v>
      </c>
      <c r="E127" s="438" t="s">
        <v>108</v>
      </c>
      <c r="F127" s="439" t="s">
        <v>109</v>
      </c>
    </row>
    <row r="128" spans="1:9" ht="26.25" customHeight="1" x14ac:dyDescent="0.3">
      <c r="A128" s="325" t="s">
        <v>110</v>
      </c>
      <c r="B128" s="326">
        <v>1</v>
      </c>
      <c r="C128" s="440">
        <v>1</v>
      </c>
      <c r="D128" s="441">
        <v>12775932</v>
      </c>
      <c r="E128" s="462">
        <f t="shared" ref="E128:E133" si="3">IF(ISBLANK(D128),"-",D128/$D$104*$D$101*$B$136)</f>
        <v>17.015241730033651</v>
      </c>
      <c r="F128" s="463">
        <f t="shared" ref="F128:F133" si="4">IF(ISBLANK(D128), "-", E128/$B$56)</f>
        <v>0.8507620865016825</v>
      </c>
    </row>
    <row r="129" spans="1:9" ht="26.25" customHeight="1" x14ac:dyDescent="0.3">
      <c r="A129" s="325" t="s">
        <v>89</v>
      </c>
      <c r="B129" s="326">
        <v>1</v>
      </c>
      <c r="C129" s="440">
        <v>2</v>
      </c>
      <c r="D129" s="441">
        <v>11810208</v>
      </c>
      <c r="E129" s="464">
        <f t="shared" si="3"/>
        <v>15.729071194334569</v>
      </c>
      <c r="F129" s="465">
        <f t="shared" si="4"/>
        <v>0.78645355971672848</v>
      </c>
    </row>
    <row r="130" spans="1:9" ht="26.25" customHeight="1" x14ac:dyDescent="0.3">
      <c r="A130" s="325" t="s">
        <v>90</v>
      </c>
      <c r="B130" s="326">
        <v>1</v>
      </c>
      <c r="C130" s="440">
        <v>3</v>
      </c>
      <c r="D130" s="441">
        <v>12715351</v>
      </c>
      <c r="E130" s="464">
        <f t="shared" si="3"/>
        <v>16.934558742737917</v>
      </c>
      <c r="F130" s="465">
        <f t="shared" si="4"/>
        <v>0.84672793713689587</v>
      </c>
    </row>
    <row r="131" spans="1:9" ht="26.25" customHeight="1" x14ac:dyDescent="0.3">
      <c r="A131" s="325" t="s">
        <v>91</v>
      </c>
      <c r="B131" s="326">
        <v>1</v>
      </c>
      <c r="C131" s="440">
        <v>4</v>
      </c>
      <c r="D131" s="441">
        <v>12556857</v>
      </c>
      <c r="E131" s="464">
        <f t="shared" si="3"/>
        <v>16.723473263983024</v>
      </c>
      <c r="F131" s="465">
        <f t="shared" si="4"/>
        <v>0.83617366319915121</v>
      </c>
    </row>
    <row r="132" spans="1:9" ht="26.25" customHeight="1" x14ac:dyDescent="0.3">
      <c r="A132" s="325" t="s">
        <v>92</v>
      </c>
      <c r="B132" s="326">
        <v>1</v>
      </c>
      <c r="C132" s="440">
        <v>5</v>
      </c>
      <c r="D132" s="441">
        <v>12817367</v>
      </c>
      <c r="E132" s="464">
        <f t="shared" si="3"/>
        <v>17.070425691648659</v>
      </c>
      <c r="F132" s="465">
        <f t="shared" si="4"/>
        <v>0.85352128458243293</v>
      </c>
    </row>
    <row r="133" spans="1:9" ht="26.25" customHeight="1" x14ac:dyDescent="0.3">
      <c r="A133" s="325" t="s">
        <v>94</v>
      </c>
      <c r="B133" s="326">
        <v>1</v>
      </c>
      <c r="C133" s="446">
        <v>6</v>
      </c>
      <c r="D133" s="447">
        <v>11798242</v>
      </c>
      <c r="E133" s="466">
        <f t="shared" si="3"/>
        <v>15.713134636239117</v>
      </c>
      <c r="F133" s="467">
        <f t="shared" si="4"/>
        <v>0.78565673181195583</v>
      </c>
    </row>
    <row r="134" spans="1:9" ht="26.25" customHeight="1" x14ac:dyDescent="0.3">
      <c r="A134" s="325" t="s">
        <v>95</v>
      </c>
      <c r="B134" s="326">
        <v>1</v>
      </c>
      <c r="C134" s="440"/>
      <c r="D134" s="400"/>
      <c r="E134" s="410"/>
      <c r="F134" s="450"/>
    </row>
    <row r="135" spans="1:9" ht="26.25" customHeight="1" x14ac:dyDescent="0.3">
      <c r="A135" s="325" t="s">
        <v>96</v>
      </c>
      <c r="B135" s="326">
        <v>1</v>
      </c>
      <c r="C135" s="440"/>
      <c r="D135" s="451"/>
      <c r="E135" s="452" t="s">
        <v>72</v>
      </c>
      <c r="F135" s="453">
        <f>AVERAGE(F128:F133)</f>
        <v>0.82654921049147456</v>
      </c>
    </row>
    <row r="136" spans="1:9" ht="27" customHeight="1" x14ac:dyDescent="0.3">
      <c r="A136" s="325" t="s">
        <v>97</v>
      </c>
      <c r="B136" s="326">
        <f>(B135/B134)*(B133/B132)*(B131/B130)*(B129/B128)*B127</f>
        <v>900</v>
      </c>
      <c r="C136" s="455"/>
      <c r="D136" s="410"/>
      <c r="E136" s="468" t="s">
        <v>82</v>
      </c>
      <c r="F136" s="457">
        <f>STDEV(F128:F133)/F135</f>
        <v>3.861456674387205E-2</v>
      </c>
    </row>
    <row r="137" spans="1:9" ht="27" customHeight="1" x14ac:dyDescent="0.3">
      <c r="A137" s="515" t="s">
        <v>77</v>
      </c>
      <c r="B137" s="516"/>
      <c r="C137" s="458"/>
      <c r="D137" s="469"/>
      <c r="E137" s="470" t="s">
        <v>20</v>
      </c>
      <c r="F137" s="461">
        <f>COUNT(F128:F133)</f>
        <v>6</v>
      </c>
      <c r="I137" s="430"/>
    </row>
    <row r="138" spans="1:9" ht="19.5" customHeight="1" x14ac:dyDescent="0.25">
      <c r="A138" s="517"/>
      <c r="B138" s="518"/>
      <c r="C138" s="410"/>
      <c r="D138" s="410"/>
      <c r="E138" s="410"/>
      <c r="F138" s="400"/>
      <c r="G138" s="410"/>
      <c r="H138" s="410"/>
    </row>
    <row r="139" spans="1:9" ht="18.75" x14ac:dyDescent="0.25">
      <c r="A139" s="320"/>
      <c r="B139" s="320"/>
      <c r="C139" s="410"/>
      <c r="D139" s="410"/>
      <c r="E139" s="410"/>
      <c r="F139" s="400"/>
      <c r="G139" s="410"/>
      <c r="H139" s="410"/>
    </row>
    <row r="140" spans="1:9" ht="26.25" customHeight="1" x14ac:dyDescent="0.25">
      <c r="A140" s="308" t="s">
        <v>100</v>
      </c>
      <c r="B140" s="409" t="s">
        <v>111</v>
      </c>
      <c r="C140" s="512" t="str">
        <f>B20</f>
        <v>Rabeprazole sodium  &amp; Itopride hydrochloride</v>
      </c>
      <c r="D140" s="512"/>
      <c r="E140" s="410" t="s">
        <v>112</v>
      </c>
      <c r="F140" s="410"/>
      <c r="G140" s="480">
        <f>F135</f>
        <v>0.82654921049147456</v>
      </c>
      <c r="H140" s="410"/>
    </row>
    <row r="141" spans="1:9" ht="19.5" customHeight="1" x14ac:dyDescent="0.25">
      <c r="A141" s="471"/>
      <c r="B141" s="471"/>
      <c r="C141" s="472"/>
      <c r="D141" s="472"/>
      <c r="E141" s="472"/>
      <c r="F141" s="472"/>
      <c r="G141" s="472"/>
      <c r="H141" s="472"/>
    </row>
    <row r="142" spans="1:9" ht="18.75" x14ac:dyDescent="0.3">
      <c r="B142" s="529" t="s">
        <v>26</v>
      </c>
      <c r="C142" s="529"/>
      <c r="E142" s="414" t="s">
        <v>27</v>
      </c>
      <c r="F142" s="473"/>
      <c r="G142" s="529" t="s">
        <v>28</v>
      </c>
      <c r="H142" s="529"/>
    </row>
    <row r="143" spans="1:9" ht="60" customHeight="1" x14ac:dyDescent="0.3">
      <c r="A143" s="474" t="s">
        <v>29</v>
      </c>
      <c r="B143" s="530"/>
      <c r="C143" s="530"/>
      <c r="E143" s="475"/>
      <c r="F143" s="410"/>
      <c r="G143" s="476"/>
      <c r="H143" s="476"/>
    </row>
    <row r="144" spans="1:9" ht="60" customHeight="1" x14ac:dyDescent="0.3">
      <c r="A144" s="474" t="s">
        <v>30</v>
      </c>
      <c r="B144" s="533"/>
      <c r="C144" s="533"/>
      <c r="E144" s="477"/>
      <c r="F144" s="410"/>
      <c r="G144" s="478"/>
      <c r="H144" s="478"/>
    </row>
    <row r="145" spans="1:8" ht="18.75" x14ac:dyDescent="0.25">
      <c r="A145" s="399"/>
      <c r="B145" s="399"/>
      <c r="C145" s="400"/>
      <c r="D145" s="400"/>
      <c r="E145" s="400"/>
      <c r="F145" s="404"/>
      <c r="G145" s="400"/>
      <c r="H145" s="400"/>
    </row>
    <row r="146" spans="1:8" ht="18.75" x14ac:dyDescent="0.25">
      <c r="A146" s="399"/>
      <c r="B146" s="399"/>
      <c r="C146" s="400"/>
      <c r="D146" s="400"/>
      <c r="E146" s="400"/>
      <c r="F146" s="404"/>
      <c r="G146" s="400"/>
      <c r="H146" s="400"/>
    </row>
    <row r="147" spans="1:8" ht="18.75" x14ac:dyDescent="0.25">
      <c r="A147" s="399"/>
      <c r="B147" s="399"/>
      <c r="C147" s="400"/>
      <c r="D147" s="400"/>
      <c r="E147" s="400"/>
      <c r="F147" s="404"/>
      <c r="G147" s="400"/>
      <c r="H147" s="400"/>
    </row>
    <row r="148" spans="1:8" ht="18.75" x14ac:dyDescent="0.25">
      <c r="A148" s="399"/>
      <c r="B148" s="399"/>
      <c r="C148" s="400"/>
      <c r="D148" s="400"/>
      <c r="E148" s="400"/>
      <c r="F148" s="404"/>
      <c r="G148" s="400"/>
      <c r="H148" s="400"/>
    </row>
    <row r="149" spans="1:8" ht="18.75" x14ac:dyDescent="0.25">
      <c r="A149" s="399"/>
      <c r="B149" s="399"/>
      <c r="C149" s="400"/>
      <c r="D149" s="400"/>
      <c r="E149" s="400"/>
      <c r="F149" s="404"/>
      <c r="G149" s="400"/>
      <c r="H149" s="400"/>
    </row>
    <row r="150" spans="1:8" ht="18.75" x14ac:dyDescent="0.25">
      <c r="A150" s="399"/>
      <c r="B150" s="399"/>
      <c r="C150" s="400"/>
      <c r="D150" s="400"/>
      <c r="E150" s="400"/>
      <c r="F150" s="404"/>
      <c r="G150" s="400"/>
      <c r="H150" s="400"/>
    </row>
    <row r="151" spans="1:8" ht="18.75" x14ac:dyDescent="0.25">
      <c r="A151" s="399"/>
      <c r="B151" s="399"/>
      <c r="C151" s="400"/>
      <c r="D151" s="400"/>
      <c r="E151" s="400"/>
      <c r="F151" s="404"/>
      <c r="G151" s="400"/>
      <c r="H151" s="400"/>
    </row>
    <row r="152" spans="1:8" ht="18.75" x14ac:dyDescent="0.25">
      <c r="A152" s="399"/>
      <c r="B152" s="399"/>
      <c r="C152" s="400"/>
      <c r="D152" s="400"/>
      <c r="E152" s="400"/>
      <c r="F152" s="404"/>
      <c r="G152" s="400"/>
      <c r="H152" s="400"/>
    </row>
    <row r="153" spans="1:8" ht="18.75" x14ac:dyDescent="0.25">
      <c r="A153" s="399"/>
      <c r="B153" s="399"/>
      <c r="C153" s="400"/>
      <c r="D153" s="400"/>
      <c r="E153" s="400"/>
      <c r="F153" s="404"/>
      <c r="G153" s="400"/>
      <c r="H153" s="400"/>
    </row>
    <row r="250" spans="1:1" x14ac:dyDescent="0.3">
      <c r="A250" s="1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7">
    <mergeCell ref="A1:H7"/>
    <mergeCell ref="A8:H14"/>
    <mergeCell ref="A46:B47"/>
    <mergeCell ref="A16:H16"/>
    <mergeCell ref="A17:H17"/>
    <mergeCell ref="B21:H21"/>
    <mergeCell ref="B26:C26"/>
    <mergeCell ref="B27:C27"/>
    <mergeCell ref="C29:H29"/>
    <mergeCell ref="C31:H31"/>
    <mergeCell ref="C32:H32"/>
    <mergeCell ref="D36:E36"/>
    <mergeCell ref="F36:G36"/>
    <mergeCell ref="B18:C18"/>
    <mergeCell ref="D18:E18"/>
    <mergeCell ref="B20:C20"/>
    <mergeCell ref="C60:C63"/>
    <mergeCell ref="D60:D63"/>
    <mergeCell ref="C64:C67"/>
    <mergeCell ref="D64:D67"/>
    <mergeCell ref="C68:C71"/>
    <mergeCell ref="D68:D71"/>
    <mergeCell ref="G142:H142"/>
    <mergeCell ref="B143:C143"/>
    <mergeCell ref="B144:C144"/>
    <mergeCell ref="A100:B101"/>
    <mergeCell ref="A120:B121"/>
    <mergeCell ref="C123:D123"/>
    <mergeCell ref="A137:B138"/>
    <mergeCell ref="C140:D140"/>
    <mergeCell ref="B142:C142"/>
    <mergeCell ref="F90:G90"/>
    <mergeCell ref="A70:B71"/>
    <mergeCell ref="C76:D76"/>
    <mergeCell ref="C83:H83"/>
    <mergeCell ref="C85:H85"/>
    <mergeCell ref="C86:H86"/>
  </mergeCells>
  <conditionalFormatting sqref="D51">
    <cfRule type="cellIs" dxfId="2" priority="1" operator="greaterThan">
      <formula>0.02</formula>
    </cfRule>
  </conditionalFormatting>
  <conditionalFormatting sqref="H73">
    <cfRule type="cellIs" dxfId="1" priority="2" operator="greaterThan">
      <formula>0.02</formula>
    </cfRule>
  </conditionalFormatting>
  <conditionalFormatting sqref="D105">
    <cfRule type="cellIs" dxfId="0" priority="3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2</oddHeader>
    <oddFooter>&amp;LNQCL/ADDO/014&amp;CPage &amp;P of &amp;N&amp;R&amp;D &amp;T</oddFooter>
  </headerFooter>
  <rowBreaks count="1" manualBreakCount="1">
    <brk id="7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M32"/>
  <sheetViews>
    <sheetView workbookViewId="0">
      <selection activeCell="G27" sqref="G27"/>
    </sheetView>
  </sheetViews>
  <sheetFormatPr defaultRowHeight="12.75" x14ac:dyDescent="0.2"/>
  <sheetData>
    <row r="8" spans="6:13" x14ac:dyDescent="0.2">
      <c r="L8">
        <v>5</v>
      </c>
      <c r="M8">
        <v>100</v>
      </c>
    </row>
    <row r="9" spans="6:13" x14ac:dyDescent="0.2">
      <c r="M9">
        <v>5</v>
      </c>
    </row>
    <row r="11" spans="6:13" x14ac:dyDescent="0.2">
      <c r="F11">
        <f>3.7*10/100</f>
        <v>0.37</v>
      </c>
      <c r="L11">
        <f>M9*L8/M8</f>
        <v>0.25</v>
      </c>
      <c r="M11">
        <f>L11/10</f>
        <v>2.5000000000000001E-2</v>
      </c>
    </row>
    <row r="12" spans="6:13" x14ac:dyDescent="0.2">
      <c r="F12">
        <f>3.7+F11</f>
        <v>4.07</v>
      </c>
    </row>
    <row r="13" spans="6:13" x14ac:dyDescent="0.2">
      <c r="G13">
        <f>3.7+0.37</f>
        <v>4.07</v>
      </c>
    </row>
    <row r="26" spans="6:7" x14ac:dyDescent="0.2">
      <c r="G26">
        <f>20/900</f>
        <v>2.2222222222222223E-2</v>
      </c>
    </row>
    <row r="32" spans="6:7" x14ac:dyDescent="0.2">
      <c r="F32">
        <f>100/100*5/100</f>
        <v>0.05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Uniformity</vt:lpstr>
      <vt:lpstr>SST (RABEPRAZOLE) </vt:lpstr>
      <vt:lpstr>SST (Itopride)</vt:lpstr>
      <vt:lpstr>itopride  (2)</vt:lpstr>
      <vt:lpstr>itopride </vt:lpstr>
      <vt:lpstr>Rabeprazole </vt:lpstr>
      <vt:lpstr>Sheet1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2015-08-28T11:51:32Z</cp:lastPrinted>
  <dcterms:created xsi:type="dcterms:W3CDTF">2005-07-05T10:19:27Z</dcterms:created>
  <dcterms:modified xsi:type="dcterms:W3CDTF">2015-08-28T12:00:59Z</dcterms:modified>
</cp:coreProperties>
</file>