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270" yWindow="525" windowWidth="20775" windowHeight="11190" activeTab="3"/>
  </bookViews>
  <sheets>
    <sheet name="SST" sheetId="1" r:id="rId1"/>
    <sheet name="Uniformity" sheetId="2" r:id="rId2"/>
    <sheet name="Fexofenadine Hydrochloride" sheetId="3" r:id="rId3"/>
    <sheet name="Fexofenadine Hydrochloride (2)" sheetId="4" r:id="rId4"/>
  </sheets>
  <definedNames>
    <definedName name="_xlnm.Print_Area" localSheetId="1">Uniformity!$A$1:$F$46</definedName>
  </definedNames>
  <calcPr calcId="145621"/>
</workbook>
</file>

<file path=xl/calcChain.xml><?xml version="1.0" encoding="utf-8"?>
<calcChain xmlns="http://schemas.openxmlformats.org/spreadsheetml/2006/main">
  <c r="F98" i="4" l="1"/>
  <c r="F96" i="4"/>
  <c r="F94" i="4"/>
  <c r="G77" i="4"/>
  <c r="C38" i="1"/>
  <c r="F98" i="3"/>
  <c r="F96" i="3"/>
  <c r="F94" i="3"/>
  <c r="C106" i="4"/>
  <c r="B102" i="4"/>
  <c r="D86" i="4" s="1"/>
  <c r="B84" i="4"/>
  <c r="F83" i="4"/>
  <c r="F84" i="4" s="1"/>
  <c r="F81" i="4"/>
  <c r="D81" i="4"/>
  <c r="I78" i="4" s="1"/>
  <c r="G80" i="4"/>
  <c r="E80" i="4"/>
  <c r="B73" i="4"/>
  <c r="D83" i="4" s="1"/>
  <c r="D84" i="4" s="1"/>
  <c r="B69" i="4"/>
  <c r="B67" i="4"/>
  <c r="B66" i="4"/>
  <c r="B65" i="4"/>
  <c r="C62" i="4"/>
  <c r="H57" i="4"/>
  <c r="G57" i="4"/>
  <c r="B54" i="4"/>
  <c r="H53" i="4"/>
  <c r="G53" i="4"/>
  <c r="H49" i="4"/>
  <c r="G49" i="4"/>
  <c r="B43" i="4"/>
  <c r="B55" i="4" s="1"/>
  <c r="C42" i="4"/>
  <c r="B41" i="4"/>
  <c r="G38" i="4"/>
  <c r="B31" i="4"/>
  <c r="D34" i="4" s="1"/>
  <c r="F28" i="4"/>
  <c r="I25" i="4" s="1"/>
  <c r="D28" i="4"/>
  <c r="G27" i="4"/>
  <c r="E27" i="4"/>
  <c r="B20" i="4"/>
  <c r="F30" i="4" s="1"/>
  <c r="F31" i="4" s="1"/>
  <c r="F32" i="4" s="1"/>
  <c r="B16" i="4"/>
  <c r="B12" i="4"/>
  <c r="F85" i="4" l="1"/>
  <c r="D87" i="4"/>
  <c r="D85" i="4"/>
  <c r="G26" i="4"/>
  <c r="D35" i="4"/>
  <c r="G24" i="4"/>
  <c r="G25" i="4"/>
  <c r="D30" i="4"/>
  <c r="D31" i="4" s="1"/>
  <c r="D32" i="4" s="1"/>
  <c r="G38" i="3"/>
  <c r="E79" i="4" l="1"/>
  <c r="G81" i="4"/>
  <c r="E77" i="4"/>
  <c r="G79" i="4"/>
  <c r="G78" i="4"/>
  <c r="D88" i="4"/>
  <c r="E78" i="4"/>
  <c r="E24" i="4"/>
  <c r="E25" i="4"/>
  <c r="G28" i="4"/>
  <c r="E26" i="4"/>
  <c r="B31" i="3"/>
  <c r="D34" i="3" s="1"/>
  <c r="D35" i="3" s="1"/>
  <c r="B54" i="3"/>
  <c r="B55" i="3" s="1"/>
  <c r="B16" i="3"/>
  <c r="B43" i="3"/>
  <c r="B12" i="3"/>
  <c r="B65" i="3" s="1"/>
  <c r="C106" i="3"/>
  <c r="B102" i="3"/>
  <c r="D86" i="3" s="1"/>
  <c r="B84" i="3"/>
  <c r="D83" i="3"/>
  <c r="F81" i="3"/>
  <c r="D81" i="3"/>
  <c r="G80" i="3"/>
  <c r="E80" i="3"/>
  <c r="B73" i="3"/>
  <c r="F83" i="3" s="1"/>
  <c r="B67" i="3"/>
  <c r="B69" i="3" s="1"/>
  <c r="B66" i="3"/>
  <c r="C62" i="3"/>
  <c r="H57" i="3"/>
  <c r="G57" i="3"/>
  <c r="H53" i="3"/>
  <c r="G53" i="3"/>
  <c r="H49" i="3"/>
  <c r="G49" i="3"/>
  <c r="C42" i="3"/>
  <c r="B41" i="3"/>
  <c r="F28" i="3"/>
  <c r="D28" i="3"/>
  <c r="G27" i="3"/>
  <c r="E27" i="3"/>
  <c r="B20" i="3"/>
  <c r="F30" i="3" s="1"/>
  <c r="C38" i="2"/>
  <c r="C41" i="2" s="1"/>
  <c r="C37" i="2"/>
  <c r="D25" i="2"/>
  <c r="D21" i="2"/>
  <c r="D17" i="2"/>
  <c r="C11" i="2"/>
  <c r="B40" i="1"/>
  <c r="E38" i="1"/>
  <c r="D38" i="1"/>
  <c r="B38" i="1"/>
  <c r="B39" i="1" s="1"/>
  <c r="B19" i="1"/>
  <c r="E17" i="1"/>
  <c r="D17" i="1"/>
  <c r="C17" i="1"/>
  <c r="B17" i="1"/>
  <c r="B18" i="1" s="1"/>
  <c r="E81" i="4" l="1"/>
  <c r="D89" i="4"/>
  <c r="E99" i="4" s="1"/>
  <c r="F99" i="4" s="1"/>
  <c r="D91" i="4"/>
  <c r="D38" i="4"/>
  <c r="D36" i="4"/>
  <c r="E28" i="4"/>
  <c r="D87" i="3"/>
  <c r="D88" i="3" s="1"/>
  <c r="I25" i="3"/>
  <c r="I78" i="3"/>
  <c r="F31" i="3"/>
  <c r="G24" i="3" s="1"/>
  <c r="D84" i="3"/>
  <c r="F84" i="3"/>
  <c r="D16" i="2"/>
  <c r="D20" i="2"/>
  <c r="D24" i="2"/>
  <c r="D28" i="2"/>
  <c r="D32" i="2"/>
  <c r="D41" i="2"/>
  <c r="C42" i="2"/>
  <c r="D18" i="2"/>
  <c r="D22" i="2"/>
  <c r="D26" i="2"/>
  <c r="D30" i="2"/>
  <c r="D34" i="2"/>
  <c r="B41" i="2"/>
  <c r="D42" i="2"/>
  <c r="D30" i="3"/>
  <c r="D31" i="3" s="1"/>
  <c r="E24" i="3" s="1"/>
  <c r="D29" i="2"/>
  <c r="D33" i="2"/>
  <c r="D19" i="2"/>
  <c r="D23" i="2"/>
  <c r="D27" i="2"/>
  <c r="D31" i="2"/>
  <c r="D35" i="2"/>
  <c r="E97" i="4" l="1"/>
  <c r="F97" i="4" s="1"/>
  <c r="D90" i="4"/>
  <c r="E98" i="4"/>
  <c r="E96" i="4"/>
  <c r="E94" i="4"/>
  <c r="E95" i="4"/>
  <c r="F95" i="4" s="1"/>
  <c r="G47" i="4"/>
  <c r="H47" i="4" s="1"/>
  <c r="G56" i="4"/>
  <c r="H56" i="4" s="1"/>
  <c r="G51" i="4"/>
  <c r="H51" i="4" s="1"/>
  <c r="G54" i="4"/>
  <c r="H54" i="4" s="1"/>
  <c r="D37" i="4"/>
  <c r="G55" i="4"/>
  <c r="H55" i="4" s="1"/>
  <c r="G52" i="4"/>
  <c r="H52" i="4" s="1"/>
  <c r="G50" i="4"/>
  <c r="H50" i="4" s="1"/>
  <c r="G48" i="4"/>
  <c r="H48" i="4" s="1"/>
  <c r="G46" i="4"/>
  <c r="H46" i="4" s="1"/>
  <c r="F85" i="3"/>
  <c r="G77" i="3"/>
  <c r="G79" i="3"/>
  <c r="G78" i="3"/>
  <c r="D85" i="3"/>
  <c r="E79" i="3"/>
  <c r="E77" i="3"/>
  <c r="E78" i="3"/>
  <c r="F32" i="3"/>
  <c r="G26" i="3"/>
  <c r="G25" i="3"/>
  <c r="D32" i="3"/>
  <c r="E25" i="3"/>
  <c r="E26" i="3"/>
  <c r="F103" i="4" l="1"/>
  <c r="F101" i="4"/>
  <c r="G106" i="4" s="1"/>
  <c r="F102" i="4"/>
  <c r="H58" i="4"/>
  <c r="H60" i="4"/>
  <c r="G81" i="3"/>
  <c r="D89" i="3"/>
  <c r="D91" i="3"/>
  <c r="E81" i="3"/>
  <c r="G28" i="3"/>
  <c r="E28" i="3"/>
  <c r="D36" i="3"/>
  <c r="G50" i="3" s="1"/>
  <c r="H50" i="3" s="1"/>
  <c r="D38" i="3"/>
  <c r="G62" i="4" l="1"/>
  <c r="H59" i="4"/>
  <c r="D90" i="3"/>
  <c r="E98" i="3"/>
  <c r="E95" i="3"/>
  <c r="F95" i="3" s="1"/>
  <c r="E94" i="3"/>
  <c r="E97" i="3"/>
  <c r="F97" i="3" s="1"/>
  <c r="E99" i="3"/>
  <c r="F99" i="3" s="1"/>
  <c r="E96" i="3"/>
  <c r="D37" i="3"/>
  <c r="G55" i="3"/>
  <c r="H55" i="3" s="1"/>
  <c r="G47" i="3"/>
  <c r="H47" i="3" s="1"/>
  <c r="G52" i="3"/>
  <c r="H52" i="3" s="1"/>
  <c r="G56" i="3"/>
  <c r="H56" i="3" s="1"/>
  <c r="G51" i="3"/>
  <c r="H51" i="3" s="1"/>
  <c r="G54" i="3"/>
  <c r="H54" i="3" s="1"/>
  <c r="G46" i="3"/>
  <c r="H46" i="3" s="1"/>
  <c r="G48" i="3"/>
  <c r="H48" i="3" s="1"/>
  <c r="F101" i="3" l="1"/>
  <c r="F103" i="3"/>
  <c r="H58" i="3"/>
  <c r="G62" i="3" s="1"/>
  <c r="H60" i="3"/>
  <c r="G106" i="3" l="1"/>
  <c r="F102" i="3"/>
  <c r="H59" i="3"/>
</calcChain>
</file>

<file path=xl/sharedStrings.xml><?xml version="1.0" encoding="utf-8"?>
<sst xmlns="http://schemas.openxmlformats.org/spreadsheetml/2006/main" count="390" uniqueCount="124">
  <si>
    <t>HPLC System Suitability Report</t>
  </si>
  <si>
    <t>Analysis Data</t>
  </si>
  <si>
    <t>Assay</t>
  </si>
  <si>
    <t>Sample(s)</t>
  </si>
  <si>
    <t>Reference Substance:</t>
  </si>
  <si>
    <t>FEXA RB TABLETS 120 mg</t>
  </si>
  <si>
    <t>% age Purity:</t>
  </si>
  <si>
    <t>NDQD201503150</t>
  </si>
  <si>
    <t>Weight (mg):</t>
  </si>
  <si>
    <t>Fexofenadine Hydrochloride</t>
  </si>
  <si>
    <t>Standard Conc (mg/mL):</t>
  </si>
  <si>
    <t>Fexofenadine Hydrochloride 120 mg</t>
  </si>
  <si>
    <t>2015-03-26 11:08:11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</si>
  <si>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</si>
  <si>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</si>
  <si>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</si>
  <si>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</si>
  <si>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</si>
  <si>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</si>
  <si>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</si>
  <si>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</si>
  <si>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</si>
  <si>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</si>
  <si>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</si>
  <si>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</si>
  <si>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</si>
  <si>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</si>
  <si>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</si>
  <si>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</si>
  <si>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</si>
  <si>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</si>
  <si>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</si>
  <si>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</si>
  <si>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</si>
  <si>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</si>
  <si>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</si>
  <si>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</si>
  <si>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</si>
  <si>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</si>
  <si>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</si>
  <si>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</si>
  <si>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</si>
  <si>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</si>
  <si>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</si>
  <si>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</si>
  <si>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</si>
  <si>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</si>
  <si>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</si>
  <si>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</si>
  <si>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</si>
  <si>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</si>
  <si>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</si>
  <si>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</si>
  <si>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</si>
  <si>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</si>
  <si>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</si>
  <si>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</si>
  <si>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</si>
  <si>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</si>
  <si>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</si>
  <si>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</si>
  <si>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</si>
  <si>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</si>
  <si>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</si>
  <si>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</si>
  <si>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</si>
  <si>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</si>
  <si>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</si>
  <si>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</si>
  <si>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</si>
  <si>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</si>
  <si>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</si>
  <si>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</si>
  <si>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</si>
  <si>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</si>
  <si>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</si>
  <si>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</si>
  <si>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</si>
  <si>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</si>
  <si>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</si>
  <si>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</si>
  <si>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</si>
  <si>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</si>
  <si>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</si>
  <si>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</si>
  <si>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Capsule contains</t>
  </si>
  <si>
    <t>Average Capsule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</si>
  <si>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</si>
  <si>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</si>
  <si>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</si>
  <si>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</si>
  <si>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</si>
  <si>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</si>
  <si>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</si>
  <si>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</si>
  <si>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</si>
  <si>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</si>
  <si>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</si>
  <si>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</si>
  <si>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</si>
  <si>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</si>
  <si>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</si>
  <si>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</si>
  <si>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</si>
  <si>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</si>
  <si>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</si>
  <si>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</si>
  <si>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</si>
  <si>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</si>
  <si>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</si>
  <si>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</si>
  <si>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</si>
  <si>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</si>
  <si>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</si>
  <si>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</si>
  <si>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</si>
  <si>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</si>
  <si>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</si>
  <si>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</si>
  <si>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</si>
  <si>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</si>
  <si>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</si>
  <si>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</si>
  <si>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BFFH/1410147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</si>
</sst>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0.0000\ &quot;mg&quot;"/>
    <numFmt numFmtId="170" formatCode="0.000"/>
    <numFmt numFmtId="171" formatCode="0.0\ &quot;mg&quot;"/>
  </numFmts>
  <fonts count="22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u/>
      <sz val="16"/>
      <color rgb="FF000000"/>
      <name val="Book Antiqua"/>
    </font>
    <font>
      <vertAlign val="superscript"/>
      <sz val="14"/>
      <color rgb="FF000000"/>
      <name val="Book Antiqua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6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35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5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69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0" fontId="11" fillId="2" borderId="26" xfId="0" applyNumberFormat="1" applyFont="1" applyFill="1" applyBorder="1" applyAlignment="1">
      <alignment horizontal="center"/>
    </xf>
    <xf numFmtId="170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0" fontId="11" fillId="2" borderId="31" xfId="0" applyNumberFormat="1" applyFont="1" applyFill="1" applyBorder="1" applyAlignment="1">
      <alignment horizontal="center"/>
    </xf>
    <xf numFmtId="170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0" fontId="11" fillId="2" borderId="35" xfId="0" applyNumberFormat="1" applyFont="1" applyFill="1" applyBorder="1" applyAlignment="1">
      <alignment horizontal="center"/>
    </xf>
    <xf numFmtId="170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0" fontId="12" fillId="6" borderId="38" xfId="0" applyNumberFormat="1" applyFont="1" applyFill="1" applyBorder="1" applyAlignment="1">
      <alignment horizontal="center"/>
    </xf>
    <xf numFmtId="170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0" fontId="12" fillId="7" borderId="13" xfId="0" applyNumberFormat="1" applyFont="1" applyFill="1" applyBorder="1" applyAlignment="1">
      <alignment horizontal="center"/>
    </xf>
    <xf numFmtId="170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1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166" fontId="12" fillId="2" borderId="0" xfId="0" applyNumberFormat="1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2" fontId="11" fillId="2" borderId="21" xfId="0" applyNumberFormat="1" applyFont="1" applyFill="1" applyBorder="1" applyAlignment="1">
      <alignment horizontal="center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2" fontId="11" fillId="2" borderId="23" xfId="0" applyNumberFormat="1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2" fontId="11" fillId="2" borderId="13" xfId="0" applyNumberFormat="1" applyFont="1" applyFill="1" applyBorder="1" applyAlignment="1">
      <alignment horizontal="center"/>
    </xf>
    <xf numFmtId="10" fontId="11" fillId="2" borderId="22" xfId="0" applyNumberFormat="1" applyFont="1" applyFill="1" applyBorder="1" applyAlignment="1">
      <alignment horizontal="center" vertical="center"/>
    </xf>
    <xf numFmtId="2" fontId="11" fillId="2" borderId="14" xfId="0" applyNumberFormat="1" applyFont="1" applyFill="1" applyBorder="1" applyAlignment="1">
      <alignment horizontal="center"/>
    </xf>
    <xf numFmtId="10" fontId="11" fillId="2" borderId="24" xfId="0" applyNumberFormat="1" applyFont="1" applyFill="1" applyBorder="1" applyAlignment="1">
      <alignment horizontal="center" vertical="center"/>
    </xf>
    <xf numFmtId="2" fontId="11" fillId="2" borderId="15" xfId="0" applyNumberFormat="1" applyFont="1" applyFill="1" applyBorder="1" applyAlignment="1">
      <alignment horizont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165" fontId="13" fillId="6" borderId="46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7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8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9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0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50" xfId="0" applyNumberFormat="1" applyFont="1" applyFill="1" applyBorder="1" applyAlignment="1">
      <alignment horizontal="center"/>
    </xf>
    <xf numFmtId="1" fontId="12" fillId="6" borderId="51" xfId="0" applyNumberFormat="1" applyFont="1" applyFill="1" applyBorder="1" applyAlignment="1">
      <alignment horizontal="center"/>
    </xf>
    <xf numFmtId="170" fontId="12" fillId="6" borderId="15" xfId="0" applyNumberFormat="1" applyFont="1" applyFill="1" applyBorder="1" applyAlignment="1">
      <alignment horizontal="center"/>
    </xf>
    <xf numFmtId="0" fontId="11" fillId="2" borderId="52" xfId="0" applyFont="1" applyFill="1" applyBorder="1" applyAlignment="1">
      <alignment horizontal="right"/>
    </xf>
    <xf numFmtId="0" fontId="13" fillId="3" borderId="53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4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0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8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56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2" fontId="11" fillId="2" borderId="26" xfId="0" applyNumberFormat="1" applyFont="1" applyFill="1" applyBorder="1" applyAlignment="1">
      <alignment horizontal="center"/>
    </xf>
    <xf numFmtId="10" fontId="11" fillId="2" borderId="30" xfId="0" applyNumberFormat="1" applyFont="1" applyFill="1" applyBorder="1" applyAlignment="1">
      <alignment horizontal="center"/>
    </xf>
    <xf numFmtId="2" fontId="11" fillId="2" borderId="31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2" fontId="11" fillId="2" borderId="35" xfId="0" applyNumberFormat="1" applyFont="1" applyFill="1" applyBorder="1" applyAlignment="1">
      <alignment horizontal="center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0" fontId="12" fillId="2" borderId="0" xfId="0" applyNumberFormat="1" applyFont="1" applyFill="1" applyAlignment="1">
      <alignment horizontal="center"/>
    </xf>
    <xf numFmtId="170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0" fontId="11" fillId="2" borderId="6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7" xfId="0" applyFont="1" applyFill="1" applyBorder="1" applyAlignment="1">
      <alignment horizontal="center"/>
    </xf>
    <xf numFmtId="0" fontId="11" fillId="2" borderId="58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48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4" fillId="3" borderId="0" xfId="0" applyFont="1" applyFill="1" applyAlignment="1" applyProtection="1">
      <alignment horizontal="left"/>
      <protection locked="0"/>
    </xf>
    <xf numFmtId="0" fontId="12" fillId="2" borderId="40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14" fillId="3" borderId="0" xfId="0" applyFont="1" applyFill="1" applyAlignment="1" applyProtection="1">
      <alignment horizontal="left"/>
      <protection locked="0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8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59" xfId="0" applyFont="1" applyFill="1" applyBorder="1" applyAlignment="1">
      <alignment horizontal="center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43" xfId="0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left"/>
      <protection locked="0"/>
    </xf>
    <xf numFmtId="0" fontId="12" fillId="2" borderId="10" xfId="0" applyFont="1" applyFill="1" applyBorder="1" applyAlignment="1">
      <alignment horizontal="center"/>
    </xf>
    <xf numFmtId="0" fontId="11" fillId="2" borderId="0" xfId="0" applyNumberFormat="1" applyFont="1" applyFill="1" applyAlignment="1">
      <alignment horizontal="center"/>
    </xf>
  </cellXfs>
  <cellStyles count="1">
    <cellStyle name="Normal" xfId="0" builtinId="0"/>
  </cellStyles>
  <dxfs count="37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8"/>
  <sheetViews>
    <sheetView topLeftCell="A28" workbookViewId="0">
      <selection activeCell="E38" sqref="E38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" spans="1:6" ht="15" customHeight="1" x14ac:dyDescent="0.3">
      <c r="A1" s="1"/>
      <c r="B1" s="2"/>
      <c r="C1" s="3"/>
      <c r="D1" s="2"/>
      <c r="F1" s="3"/>
    </row>
    <row r="2" spans="1:6" ht="18.75" customHeight="1" x14ac:dyDescent="0.3">
      <c r="A2" s="287" t="s">
        <v>0</v>
      </c>
      <c r="B2" s="287"/>
      <c r="C2" s="287"/>
      <c r="D2" s="287"/>
      <c r="E2" s="287"/>
    </row>
    <row r="3" spans="1:6" ht="16.5" customHeight="1" x14ac:dyDescent="0.3">
      <c r="A3" s="5" t="s">
        <v>1</v>
      </c>
      <c r="B3" s="6" t="s">
        <v>2</v>
      </c>
    </row>
    <row r="4" spans="1:6" ht="16.5" customHeight="1" x14ac:dyDescent="0.3">
      <c r="A4" s="7" t="s">
        <v>3</v>
      </c>
      <c r="B4" s="8"/>
      <c r="D4" s="9"/>
      <c r="E4" s="10"/>
    </row>
    <row r="5" spans="1:6" ht="16.5" customHeight="1" x14ac:dyDescent="0.3">
      <c r="A5" s="11" t="s">
        <v>4</v>
      </c>
      <c r="B5" s="8" t="s">
        <v>5</v>
      </c>
      <c r="C5" s="10"/>
      <c r="D5" s="10"/>
      <c r="E5" s="10"/>
    </row>
    <row r="6" spans="1:6" ht="16.5" customHeight="1" x14ac:dyDescent="0.3">
      <c r="A6" s="11" t="s">
        <v>6</v>
      </c>
      <c r="B6" s="12" t="s">
        <v>7</v>
      </c>
      <c r="C6" s="10"/>
      <c r="D6" s="10"/>
      <c r="E6" s="10"/>
    </row>
    <row r="7" spans="1:6" ht="16.5" customHeight="1" x14ac:dyDescent="0.3">
      <c r="A7" s="7" t="s">
        <v>8</v>
      </c>
      <c r="B7" s="12" t="s">
        <v>9</v>
      </c>
      <c r="C7" s="10"/>
      <c r="D7" s="10"/>
      <c r="E7" s="10"/>
    </row>
    <row r="8" spans="1:6" ht="16.5" customHeight="1" x14ac:dyDescent="0.3">
      <c r="A8" s="7" t="s">
        <v>10</v>
      </c>
      <c r="B8" s="13" t="s">
        <v>11</v>
      </c>
      <c r="C8" s="10"/>
      <c r="D8" s="10"/>
      <c r="E8" s="10"/>
    </row>
    <row r="9" spans="1:6" ht="15.75" customHeight="1" x14ac:dyDescent="0.25">
      <c r="A9" s="10"/>
      <c r="B9" s="10" t="s">
        <v>12</v>
      </c>
      <c r="C9" s="10"/>
      <c r="D9" s="10"/>
      <c r="E9" s="10"/>
    </row>
    <row r="10" spans="1:6" ht="16.5" customHeight="1" x14ac:dyDescent="0.3">
      <c r="A10" s="14" t="s">
        <v>13</v>
      </c>
      <c r="B10" s="15" t="s">
        <v>14</v>
      </c>
      <c r="C10" s="14" t="s">
        <v>15</v>
      </c>
      <c r="D10" s="14" t="s">
        <v>16</v>
      </c>
      <c r="E10" s="16" t="s">
        <v>17</v>
      </c>
    </row>
    <row r="11" spans="1:6" ht="16.5" customHeight="1" x14ac:dyDescent="0.3">
      <c r="A11" s="17">
        <v>1</v>
      </c>
      <c r="B11" s="18">
        <v>10449497</v>
      </c>
      <c r="C11" s="18">
        <v>8008.5</v>
      </c>
      <c r="D11" s="19">
        <v>1.1000000000000001</v>
      </c>
      <c r="E11" s="20">
        <v>5</v>
      </c>
    </row>
    <row r="12" spans="1:6" ht="16.5" customHeight="1" x14ac:dyDescent="0.3">
      <c r="A12" s="17">
        <v>2</v>
      </c>
      <c r="B12" s="18">
        <v>10489930</v>
      </c>
      <c r="C12" s="18">
        <v>8080</v>
      </c>
      <c r="D12" s="19">
        <v>1.1000000000000001</v>
      </c>
      <c r="E12" s="19">
        <v>5</v>
      </c>
    </row>
    <row r="13" spans="1:6" ht="16.5" customHeight="1" x14ac:dyDescent="0.3">
      <c r="A13" s="17">
        <v>3</v>
      </c>
      <c r="B13" s="18">
        <v>10497847</v>
      </c>
      <c r="C13" s="18">
        <v>8132.5</v>
      </c>
      <c r="D13" s="19">
        <v>1.1000000000000001</v>
      </c>
      <c r="E13" s="19">
        <v>5</v>
      </c>
    </row>
    <row r="14" spans="1:6" ht="16.5" customHeight="1" x14ac:dyDescent="0.3">
      <c r="A14" s="17">
        <v>4</v>
      </c>
      <c r="B14" s="18">
        <v>10472102</v>
      </c>
      <c r="C14" s="18">
        <v>8191.6</v>
      </c>
      <c r="D14" s="19">
        <v>1.1000000000000001</v>
      </c>
      <c r="E14" s="19">
        <v>5</v>
      </c>
    </row>
    <row r="15" spans="1:6" ht="16.5" customHeight="1" x14ac:dyDescent="0.3">
      <c r="A15" s="17">
        <v>5</v>
      </c>
      <c r="B15" s="18">
        <v>10473012</v>
      </c>
      <c r="C15" s="18">
        <v>8210.9</v>
      </c>
      <c r="D15" s="19">
        <v>1.1000000000000001</v>
      </c>
      <c r="E15" s="19">
        <v>5</v>
      </c>
    </row>
    <row r="16" spans="1:6" ht="16.5" customHeight="1" x14ac:dyDescent="0.3">
      <c r="A16" s="17">
        <v>6</v>
      </c>
      <c r="B16" s="21">
        <v>10514565</v>
      </c>
      <c r="C16" s="21">
        <v>8179.8</v>
      </c>
      <c r="D16" s="22">
        <v>1.2</v>
      </c>
      <c r="E16" s="22">
        <v>5</v>
      </c>
    </row>
    <row r="17" spans="1:6" ht="16.5" customHeight="1" x14ac:dyDescent="0.3">
      <c r="A17" s="23" t="s">
        <v>18</v>
      </c>
      <c r="B17" s="24">
        <f>AVERAGE(B11:B16)</f>
        <v>10482825.5</v>
      </c>
      <c r="C17" s="25">
        <f>AVERAGE(C11:C16)</f>
        <v>8133.8833333333341</v>
      </c>
      <c r="D17" s="26">
        <f>AVERAGE(D11:D16)</f>
        <v>1.1166666666666667</v>
      </c>
      <c r="E17" s="26">
        <f>AVERAGE(E11:E16)</f>
        <v>5</v>
      </c>
    </row>
    <row r="18" spans="1:6" ht="16.5" customHeight="1" x14ac:dyDescent="0.3">
      <c r="A18" s="27" t="s">
        <v>19</v>
      </c>
      <c r="B18" s="28">
        <f>(STDEV(B11:B16)/B17)</f>
        <v>2.177663205858976E-3</v>
      </c>
      <c r="C18" s="29"/>
      <c r="D18" s="29"/>
      <c r="E18" s="30"/>
      <c r="F18" s="2"/>
    </row>
    <row r="19" spans="1:6" s="2" customFormat="1" ht="16.5" customHeight="1" x14ac:dyDescent="0.3">
      <c r="A19" s="31" t="s">
        <v>20</v>
      </c>
      <c r="B19" s="32">
        <f>COUNT(B11:B16)</f>
        <v>6</v>
      </c>
      <c r="C19" s="33"/>
      <c r="D19" s="34"/>
      <c r="E19" s="35"/>
    </row>
    <row r="20" spans="1:6" s="2" customFormat="1" ht="15.75" customHeight="1" x14ac:dyDescent="0.25">
      <c r="A20" s="10"/>
      <c r="B20" s="10"/>
      <c r="C20" s="10"/>
      <c r="D20" s="10"/>
      <c r="E20" s="36"/>
    </row>
    <row r="21" spans="1:6" s="2" customFormat="1" ht="16.5" customHeight="1" x14ac:dyDescent="0.3">
      <c r="A21" s="11" t="s">
        <v>21</v>
      </c>
      <c r="B21" s="37" t="s">
        <v>22</v>
      </c>
      <c r="C21" s="38"/>
      <c r="D21" s="38"/>
      <c r="E21" s="39"/>
    </row>
    <row r="22" spans="1:6" ht="16.5" customHeight="1" x14ac:dyDescent="0.3">
      <c r="A22" s="11"/>
      <c r="B22" s="37" t="s">
        <v>23</v>
      </c>
      <c r="C22" s="38"/>
      <c r="D22" s="38"/>
      <c r="E22" s="39"/>
      <c r="F22" s="2"/>
    </row>
    <row r="23" spans="1:6" ht="16.5" customHeight="1" x14ac:dyDescent="0.3">
      <c r="A23" s="11"/>
      <c r="B23" s="40" t="s">
        <v>24</v>
      </c>
      <c r="C23" s="38"/>
      <c r="D23" s="38"/>
      <c r="E23" s="38"/>
    </row>
    <row r="24" spans="1:6" ht="15.75" customHeight="1" x14ac:dyDescent="0.25">
      <c r="A24" s="10"/>
      <c r="B24" s="10"/>
      <c r="C24" s="10"/>
      <c r="D24" s="10"/>
      <c r="E24" s="10"/>
    </row>
    <row r="25" spans="1:6" ht="16.5" customHeight="1" x14ac:dyDescent="0.3">
      <c r="A25" s="5" t="s">
        <v>1</v>
      </c>
      <c r="B25" s="6" t="s">
        <v>25</v>
      </c>
    </row>
    <row r="26" spans="1:6" ht="16.5" customHeight="1" x14ac:dyDescent="0.3">
      <c r="A26" s="11" t="s">
        <v>4</v>
      </c>
      <c r="B26" s="8"/>
      <c r="C26" s="10"/>
      <c r="D26" s="10"/>
      <c r="E26" s="10"/>
    </row>
    <row r="27" spans="1:6" ht="16.5" customHeight="1" x14ac:dyDescent="0.3">
      <c r="A27" s="11" t="s">
        <v>6</v>
      </c>
      <c r="B27" s="12"/>
      <c r="C27" s="10"/>
      <c r="D27" s="10"/>
      <c r="E27" s="10"/>
    </row>
    <row r="28" spans="1:6" ht="16.5" customHeight="1" x14ac:dyDescent="0.3">
      <c r="A28" s="7" t="s">
        <v>8</v>
      </c>
      <c r="B28" s="12"/>
      <c r="C28" s="10"/>
      <c r="D28" s="10"/>
      <c r="E28" s="10"/>
    </row>
    <row r="29" spans="1:6" ht="16.5" customHeight="1" x14ac:dyDescent="0.3">
      <c r="A29" s="7" t="s">
        <v>10</v>
      </c>
      <c r="B29" s="13"/>
      <c r="C29" s="10"/>
      <c r="D29" s="10"/>
      <c r="E29" s="10"/>
    </row>
    <row r="30" spans="1:6" ht="15.75" customHeight="1" x14ac:dyDescent="0.25">
      <c r="A30" s="10"/>
      <c r="B30" s="10"/>
      <c r="C30" s="10"/>
      <c r="D30" s="10"/>
      <c r="E30" s="10"/>
    </row>
    <row r="31" spans="1:6" ht="16.5" customHeight="1" x14ac:dyDescent="0.3">
      <c r="A31" s="14" t="s">
        <v>13</v>
      </c>
      <c r="B31" s="15" t="s">
        <v>14</v>
      </c>
      <c r="C31" s="14" t="s">
        <v>15</v>
      </c>
      <c r="D31" s="14" t="s">
        <v>16</v>
      </c>
      <c r="E31" s="16" t="s">
        <v>17</v>
      </c>
    </row>
    <row r="32" spans="1:6" ht="16.5" customHeight="1" x14ac:dyDescent="0.3">
      <c r="A32" s="17">
        <v>1</v>
      </c>
      <c r="B32" s="18">
        <v>30545388</v>
      </c>
      <c r="C32" s="18">
        <v>9094</v>
      </c>
      <c r="D32" s="19">
        <v>1.1000000000000001</v>
      </c>
      <c r="E32" s="20">
        <v>2.9</v>
      </c>
    </row>
    <row r="33" spans="1:7" ht="16.5" customHeight="1" x14ac:dyDescent="0.3">
      <c r="A33" s="17">
        <v>2</v>
      </c>
      <c r="B33" s="18">
        <v>30149298</v>
      </c>
      <c r="C33" s="18">
        <v>9148.2999999999993</v>
      </c>
      <c r="D33" s="19">
        <v>1.1000000000000001</v>
      </c>
      <c r="E33" s="19">
        <v>2.9</v>
      </c>
    </row>
    <row r="34" spans="1:7" ht="16.5" customHeight="1" x14ac:dyDescent="0.3">
      <c r="A34" s="17">
        <v>3</v>
      </c>
      <c r="B34" s="18">
        <v>30063325</v>
      </c>
      <c r="C34" s="18">
        <v>9124.2999999999993</v>
      </c>
      <c r="D34" s="19">
        <v>1.1000000000000001</v>
      </c>
      <c r="E34" s="19">
        <v>2.9</v>
      </c>
    </row>
    <row r="35" spans="1:7" ht="16.5" customHeight="1" x14ac:dyDescent="0.3">
      <c r="A35" s="17">
        <v>4</v>
      </c>
      <c r="B35" s="18">
        <v>30524067</v>
      </c>
      <c r="C35" s="18">
        <v>9119.9</v>
      </c>
      <c r="D35" s="19">
        <v>1.2</v>
      </c>
      <c r="E35" s="19">
        <v>2.9</v>
      </c>
    </row>
    <row r="36" spans="1:7" ht="16.5" customHeight="1" x14ac:dyDescent="0.3">
      <c r="A36" s="17">
        <v>5</v>
      </c>
      <c r="B36" s="18">
        <v>29946519</v>
      </c>
      <c r="C36" s="18">
        <v>9100.6</v>
      </c>
      <c r="D36" s="19">
        <v>1.1000000000000001</v>
      </c>
      <c r="E36" s="19">
        <v>2.9</v>
      </c>
    </row>
    <row r="37" spans="1:7" ht="16.5" customHeight="1" x14ac:dyDescent="0.3">
      <c r="A37" s="17">
        <v>6</v>
      </c>
      <c r="B37" s="21">
        <v>30045372</v>
      </c>
      <c r="C37" s="21">
        <v>9075.9</v>
      </c>
      <c r="D37" s="22">
        <v>1.1000000000000001</v>
      </c>
      <c r="E37" s="22">
        <v>2.9</v>
      </c>
    </row>
    <row r="38" spans="1:7" ht="16.5" customHeight="1" x14ac:dyDescent="0.3">
      <c r="A38" s="23" t="s">
        <v>18</v>
      </c>
      <c r="B38" s="24">
        <f>AVERAGE(B32:B37)</f>
        <v>30212328.166666668</v>
      </c>
      <c r="C38" s="25">
        <f>AVERAGE(C32:C37)</f>
        <v>9110.5</v>
      </c>
      <c r="D38" s="26">
        <f>AVERAGE(D32:D37)</f>
        <v>1.1166666666666665</v>
      </c>
      <c r="E38" s="26">
        <f>AVERAGE(E32:E37)</f>
        <v>2.9</v>
      </c>
    </row>
    <row r="39" spans="1:7" ht="16.5" customHeight="1" x14ac:dyDescent="0.3">
      <c r="A39" s="27" t="s">
        <v>19</v>
      </c>
      <c r="B39" s="28">
        <f>(STDEV(B32:B37)/B38)</f>
        <v>8.539477907747086E-3</v>
      </c>
      <c r="C39" s="29"/>
      <c r="D39" s="29"/>
      <c r="E39" s="30"/>
      <c r="F39" s="2"/>
    </row>
    <row r="40" spans="1:7" s="2" customFormat="1" ht="16.5" customHeight="1" x14ac:dyDescent="0.3">
      <c r="A40" s="31" t="s">
        <v>20</v>
      </c>
      <c r="B40" s="32">
        <f>COUNT(B32:B37)</f>
        <v>6</v>
      </c>
      <c r="C40" s="33"/>
      <c r="D40" s="34"/>
      <c r="E40" s="35"/>
    </row>
    <row r="41" spans="1:7" s="2" customFormat="1" ht="15.75" customHeight="1" x14ac:dyDescent="0.25">
      <c r="A41" s="10"/>
      <c r="B41" s="10"/>
      <c r="C41" s="10"/>
      <c r="D41" s="10"/>
      <c r="E41" s="36"/>
    </row>
    <row r="42" spans="1:7" s="2" customFormat="1" ht="16.5" customHeight="1" x14ac:dyDescent="0.3">
      <c r="A42" s="11" t="s">
        <v>21</v>
      </c>
      <c r="B42" s="37" t="s">
        <v>22</v>
      </c>
      <c r="C42" s="38"/>
      <c r="D42" s="38"/>
      <c r="E42" s="39"/>
    </row>
    <row r="43" spans="1:7" ht="16.5" customHeight="1" x14ac:dyDescent="0.3">
      <c r="A43" s="11"/>
      <c r="B43" s="37" t="s">
        <v>23</v>
      </c>
      <c r="C43" s="38"/>
      <c r="D43" s="38"/>
      <c r="E43" s="39"/>
      <c r="F43" s="2"/>
    </row>
    <row r="44" spans="1:7" ht="16.5" customHeight="1" x14ac:dyDescent="0.3">
      <c r="A44" s="11"/>
      <c r="B44" s="40" t="s">
        <v>24</v>
      </c>
      <c r="C44" s="38"/>
      <c r="D44" s="39"/>
      <c r="E44" s="38"/>
    </row>
    <row r="45" spans="1:7" ht="14.25" customHeight="1" x14ac:dyDescent="0.25">
      <c r="A45" s="41"/>
      <c r="B45" s="42"/>
      <c r="D45" s="43"/>
      <c r="F45" s="44"/>
      <c r="G45" s="44"/>
    </row>
    <row r="46" spans="1:7" ht="15" customHeight="1" x14ac:dyDescent="0.3">
      <c r="B46" s="288" t="s">
        <v>26</v>
      </c>
      <c r="C46" s="288"/>
      <c r="E46" s="45" t="s">
        <v>27</v>
      </c>
      <c r="F46" s="46"/>
      <c r="G46" s="45" t="s">
        <v>28</v>
      </c>
    </row>
    <row r="47" spans="1:7" ht="15" customHeight="1" x14ac:dyDescent="0.3">
      <c r="A47" s="47" t="s">
        <v>29</v>
      </c>
      <c r="B47" s="48"/>
      <c r="C47" s="48"/>
      <c r="E47" s="48"/>
      <c r="F47" s="2"/>
      <c r="G47" s="49"/>
    </row>
    <row r="48" spans="1:7" ht="15" customHeight="1" x14ac:dyDescent="0.3">
      <c r="A48" s="47" t="s">
        <v>30</v>
      </c>
      <c r="B48" s="50"/>
      <c r="C48" s="50"/>
      <c r="E48" s="50"/>
      <c r="F48" s="2"/>
      <c r="G48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2:E2"/>
    <mergeCell ref="B46:C4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46"/>
  <sheetViews>
    <sheetView view="pageBreakPreview" topLeftCell="A22" workbookViewId="0">
      <selection sqref="A1:F8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2" spans="1:7" ht="13.5" customHeight="1" x14ac:dyDescent="0.3"/>
    <row r="3" spans="1:7" ht="13.5" customHeight="1" x14ac:dyDescent="0.3">
      <c r="A3" s="292" t="s">
        <v>31</v>
      </c>
      <c r="B3" s="293"/>
      <c r="C3" s="293"/>
      <c r="D3" s="293"/>
      <c r="E3" s="293"/>
      <c r="F3" s="294"/>
      <c r="G3" s="91"/>
    </row>
    <row r="4" spans="1:7" ht="16.5" customHeight="1" x14ac:dyDescent="0.3">
      <c r="A4" s="291" t="s">
        <v>32</v>
      </c>
      <c r="B4" s="291"/>
      <c r="C4" s="291"/>
      <c r="D4" s="291"/>
      <c r="E4" s="291"/>
      <c r="F4" s="291"/>
      <c r="G4" s="90"/>
    </row>
    <row r="6" spans="1:7" ht="16.5" customHeight="1" x14ac:dyDescent="0.3">
      <c r="A6" s="296" t="s">
        <v>33</v>
      </c>
      <c r="B6" s="296"/>
      <c r="C6" s="60" t="s">
        <v>5</v>
      </c>
    </row>
    <row r="7" spans="1:7" ht="16.5" customHeight="1" x14ac:dyDescent="0.3">
      <c r="A7" s="296" t="s">
        <v>34</v>
      </c>
      <c r="B7" s="296"/>
      <c r="C7" s="60" t="s">
        <v>7</v>
      </c>
    </row>
    <row r="8" spans="1:7" ht="16.5" customHeight="1" x14ac:dyDescent="0.3">
      <c r="A8" s="296" t="s">
        <v>35</v>
      </c>
      <c r="B8" s="296"/>
      <c r="C8" s="60" t="s">
        <v>9</v>
      </c>
    </row>
    <row r="9" spans="1:7" ht="16.5" customHeight="1" x14ac:dyDescent="0.3">
      <c r="A9" s="296" t="s">
        <v>36</v>
      </c>
      <c r="B9" s="296"/>
      <c r="C9" s="60" t="s">
        <v>11</v>
      </c>
    </row>
    <row r="10" spans="1:7" ht="16.5" customHeight="1" x14ac:dyDescent="0.3">
      <c r="A10" s="296" t="s">
        <v>37</v>
      </c>
      <c r="B10" s="296"/>
      <c r="C10" s="97" t="s">
        <v>12</v>
      </c>
    </row>
    <row r="11" spans="1:7" ht="16.5" customHeight="1" x14ac:dyDescent="0.3">
      <c r="A11" s="296" t="s">
        <v>38</v>
      </c>
      <c r="B11" s="296"/>
      <c r="C11" s="97" t="e">
        <f>#REF!</f>
        <v>#REF!</v>
      </c>
    </row>
    <row r="12" spans="1:7" ht="16.5" customHeight="1" x14ac:dyDescent="0.3">
      <c r="A12" s="62"/>
      <c r="B12" s="62"/>
      <c r="C12" s="77"/>
    </row>
    <row r="13" spans="1:7" ht="16.5" customHeight="1" x14ac:dyDescent="0.3">
      <c r="A13" s="291" t="s">
        <v>1</v>
      </c>
      <c r="B13" s="291"/>
      <c r="C13" s="59" t="s">
        <v>39</v>
      </c>
      <c r="D13" s="66"/>
    </row>
    <row r="14" spans="1:7" ht="15.75" customHeight="1" x14ac:dyDescent="0.3">
      <c r="A14" s="295"/>
      <c r="B14" s="295"/>
      <c r="C14" s="57"/>
      <c r="D14" s="295"/>
      <c r="E14" s="295"/>
    </row>
    <row r="15" spans="1:7" ht="33.75" customHeight="1" x14ac:dyDescent="0.3">
      <c r="C15" s="86" t="s">
        <v>40</v>
      </c>
      <c r="D15" s="85" t="s">
        <v>41</v>
      </c>
      <c r="E15" s="52"/>
    </row>
    <row r="16" spans="1:7" ht="15.75" customHeight="1" x14ac:dyDescent="0.3">
      <c r="C16" s="95">
        <v>391.6</v>
      </c>
      <c r="D16" s="87">
        <f t="shared" ref="D16:D35" si="0">(C16-$C$38)/$C$38</f>
        <v>3.5696622348936703E-2</v>
      </c>
      <c r="E16" s="53"/>
    </row>
    <row r="17" spans="3:5" ht="15.75" customHeight="1" x14ac:dyDescent="0.3">
      <c r="C17" s="95">
        <v>375.92</v>
      </c>
      <c r="D17" s="88">
        <f t="shared" si="0"/>
        <v>-5.7735590566591445E-3</v>
      </c>
      <c r="E17" s="53"/>
    </row>
    <row r="18" spans="3:5" ht="15.75" customHeight="1" x14ac:dyDescent="0.3">
      <c r="C18" s="95">
        <v>377.92</v>
      </c>
      <c r="D18" s="88">
        <f t="shared" si="0"/>
        <v>-4.8399510186375862E-4</v>
      </c>
      <c r="E18" s="53"/>
    </row>
    <row r="19" spans="3:5" ht="15.75" customHeight="1" x14ac:dyDescent="0.3">
      <c r="C19" s="95">
        <v>380.35</v>
      </c>
      <c r="D19" s="88">
        <f t="shared" si="0"/>
        <v>5.9428251032126542E-3</v>
      </c>
      <c r="E19" s="53"/>
    </row>
    <row r="20" spans="3:5" ht="15.75" customHeight="1" x14ac:dyDescent="0.3">
      <c r="C20" s="95">
        <v>368.87</v>
      </c>
      <c r="D20" s="88">
        <f t="shared" si="0"/>
        <v>-2.4419271997312912E-2</v>
      </c>
      <c r="E20" s="53"/>
    </row>
    <row r="21" spans="3:5" ht="15.75" customHeight="1" x14ac:dyDescent="0.3">
      <c r="C21" s="95">
        <v>387.81</v>
      </c>
      <c r="D21" s="88">
        <f t="shared" si="0"/>
        <v>2.5672898654599392E-2</v>
      </c>
      <c r="E21" s="53"/>
    </row>
    <row r="22" spans="3:5" ht="15.75" customHeight="1" x14ac:dyDescent="0.3">
      <c r="C22" s="95">
        <v>378.57</v>
      </c>
      <c r="D22" s="88">
        <f t="shared" si="0"/>
        <v>1.2351131834446819E-3</v>
      </c>
      <c r="E22" s="53"/>
    </row>
    <row r="23" spans="3:5" ht="15.75" customHeight="1" x14ac:dyDescent="0.3">
      <c r="C23" s="95">
        <v>367.2</v>
      </c>
      <c r="D23" s="88">
        <f t="shared" si="0"/>
        <v>-2.8836057899567103E-2</v>
      </c>
      <c r="E23" s="53"/>
    </row>
    <row r="24" spans="3:5" ht="15.75" customHeight="1" x14ac:dyDescent="0.3">
      <c r="C24" s="95">
        <v>370.25</v>
      </c>
      <c r="D24" s="88">
        <f t="shared" si="0"/>
        <v>-2.0769472868504106E-2</v>
      </c>
      <c r="E24" s="53"/>
    </row>
    <row r="25" spans="3:5" ht="15.75" customHeight="1" x14ac:dyDescent="0.3">
      <c r="C25" s="95">
        <v>377.38</v>
      </c>
      <c r="D25" s="88">
        <f t="shared" si="0"/>
        <v>-1.9121773696585671E-3</v>
      </c>
      <c r="E25" s="53"/>
    </row>
    <row r="26" spans="3:5" ht="15.75" customHeight="1" x14ac:dyDescent="0.3">
      <c r="C26" s="95">
        <v>391.15</v>
      </c>
      <c r="D26" s="88">
        <f t="shared" si="0"/>
        <v>3.4506470459107617E-2</v>
      </c>
      <c r="E26" s="53"/>
    </row>
    <row r="27" spans="3:5" ht="15.75" customHeight="1" x14ac:dyDescent="0.3">
      <c r="C27" s="95">
        <v>380.3</v>
      </c>
      <c r="D27" s="88">
        <f t="shared" si="0"/>
        <v>5.8105860043427392E-3</v>
      </c>
      <c r="E27" s="53"/>
    </row>
    <row r="28" spans="3:5" ht="15.75" customHeight="1" x14ac:dyDescent="0.3">
      <c r="C28" s="95">
        <v>373.64</v>
      </c>
      <c r="D28" s="88">
        <f t="shared" si="0"/>
        <v>-1.1803661965125964E-2</v>
      </c>
      <c r="E28" s="53"/>
    </row>
    <row r="29" spans="3:5" ht="15.75" customHeight="1" x14ac:dyDescent="0.3">
      <c r="C29" s="95">
        <v>366.52</v>
      </c>
      <c r="D29" s="88">
        <f t="shared" si="0"/>
        <v>-3.063450964419755E-2</v>
      </c>
      <c r="E29" s="53"/>
    </row>
    <row r="30" spans="3:5" ht="15.75" customHeight="1" x14ac:dyDescent="0.3">
      <c r="C30" s="95">
        <v>384.63</v>
      </c>
      <c r="D30" s="88">
        <f t="shared" si="0"/>
        <v>1.7262491966474707E-2</v>
      </c>
      <c r="E30" s="53"/>
    </row>
    <row r="31" spans="3:5" ht="15.75" customHeight="1" x14ac:dyDescent="0.3">
      <c r="C31" s="95">
        <v>384.05</v>
      </c>
      <c r="D31" s="88">
        <f t="shared" si="0"/>
        <v>1.572851841958409E-2</v>
      </c>
      <c r="E31" s="53"/>
    </row>
    <row r="32" spans="3:5" ht="15.75" customHeight="1" x14ac:dyDescent="0.3">
      <c r="C32" s="95">
        <v>378.18</v>
      </c>
      <c r="D32" s="88">
        <f t="shared" si="0"/>
        <v>2.0364821225961756E-4</v>
      </c>
      <c r="E32" s="53"/>
    </row>
    <row r="33" spans="1:7" ht="15.75" customHeight="1" x14ac:dyDescent="0.3">
      <c r="C33" s="95">
        <v>382.92</v>
      </c>
      <c r="D33" s="88">
        <f t="shared" si="0"/>
        <v>1.2739914785124708E-2</v>
      </c>
      <c r="E33" s="53"/>
    </row>
    <row r="34" spans="1:7" ht="15.75" customHeight="1" x14ac:dyDescent="0.3">
      <c r="C34" s="95">
        <v>376.14</v>
      </c>
      <c r="D34" s="88">
        <f t="shared" si="0"/>
        <v>-5.1917070216317305E-3</v>
      </c>
      <c r="E34" s="53"/>
    </row>
    <row r="35" spans="1:7" ht="16.5" customHeight="1" x14ac:dyDescent="0.3">
      <c r="C35" s="96">
        <v>368.66</v>
      </c>
      <c r="D35" s="89">
        <f t="shared" si="0"/>
        <v>-2.4974676212566372E-2</v>
      </c>
      <c r="E35" s="53"/>
    </row>
    <row r="36" spans="1:7" ht="16.5" customHeight="1" x14ac:dyDescent="0.3">
      <c r="C36" s="54"/>
      <c r="D36" s="53"/>
      <c r="E36" s="55"/>
    </row>
    <row r="37" spans="1:7" ht="16.5" customHeight="1" x14ac:dyDescent="0.3">
      <c r="B37" s="82" t="s">
        <v>42</v>
      </c>
      <c r="C37" s="83">
        <f>SUM(C16:C36)</f>
        <v>7562.06</v>
      </c>
      <c r="D37" s="78"/>
      <c r="E37" s="54"/>
    </row>
    <row r="38" spans="1:7" ht="17.25" customHeight="1" x14ac:dyDescent="0.3">
      <c r="B38" s="82" t="s">
        <v>43</v>
      </c>
      <c r="C38" s="84">
        <f>AVERAGE(C16:C36)</f>
        <v>378.10300000000001</v>
      </c>
      <c r="E38" s="56"/>
    </row>
    <row r="39" spans="1:7" ht="17.25" customHeight="1" x14ac:dyDescent="0.3">
      <c r="A39" s="60"/>
      <c r="B39" s="79"/>
      <c r="D39" s="58"/>
      <c r="E39" s="56"/>
    </row>
    <row r="40" spans="1:7" ht="33.75" customHeight="1" x14ac:dyDescent="0.3">
      <c r="B40" s="92" t="s">
        <v>43</v>
      </c>
      <c r="C40" s="85" t="s">
        <v>44</v>
      </c>
      <c r="D40" s="80"/>
      <c r="G40" s="58"/>
    </row>
    <row r="41" spans="1:7" ht="17.25" customHeight="1" x14ac:dyDescent="0.3">
      <c r="B41" s="289">
        <f>C38</f>
        <v>378.10300000000001</v>
      </c>
      <c r="C41" s="93">
        <f>-IF(C38&lt;=80,10%,IF(C38&lt;250,7.5%,5%))</f>
        <v>-0.05</v>
      </c>
      <c r="D41" s="81">
        <f>IF(C38&lt;=80,C38*0.9,IF(C38&lt;250,C38*0.925,C38*0.95))</f>
        <v>359.19785000000002</v>
      </c>
    </row>
    <row r="42" spans="1:7" ht="17.25" customHeight="1" x14ac:dyDescent="0.3">
      <c r="B42" s="290"/>
      <c r="C42" s="94">
        <f>IF(C38&lt;=80, 10%, IF(C38&lt;250, 7.5%, 5%))</f>
        <v>0.05</v>
      </c>
      <c r="D42" s="81">
        <f>IF(C38&lt;=80, C38*1.1, IF(C38&lt;250, C38*1.075, C38*1.05))</f>
        <v>397.00815</v>
      </c>
    </row>
    <row r="43" spans="1:7" ht="16.5" customHeight="1" x14ac:dyDescent="0.3">
      <c r="A43" s="63"/>
      <c r="B43" s="64"/>
      <c r="C43" s="60"/>
      <c r="D43" s="65"/>
      <c r="E43" s="60"/>
      <c r="F43" s="66"/>
    </row>
    <row r="44" spans="1:7" ht="16.5" customHeight="1" x14ac:dyDescent="0.3">
      <c r="A44" s="60"/>
      <c r="B44" s="67" t="s">
        <v>26</v>
      </c>
      <c r="C44" s="67"/>
      <c r="D44" s="68" t="s">
        <v>27</v>
      </c>
      <c r="E44" s="69"/>
      <c r="F44" s="68" t="s">
        <v>28</v>
      </c>
    </row>
    <row r="45" spans="1:7" ht="34.5" customHeight="1" x14ac:dyDescent="0.3">
      <c r="A45" s="70" t="s">
        <v>29</v>
      </c>
      <c r="B45" s="71"/>
      <c r="C45" s="72"/>
      <c r="D45" s="71"/>
      <c r="E45" s="61"/>
      <c r="F45" s="73"/>
    </row>
    <row r="46" spans="1:7" ht="34.5" customHeight="1" x14ac:dyDescent="0.3">
      <c r="A46" s="70" t="s">
        <v>30</v>
      </c>
      <c r="B46" s="74"/>
      <c r="C46" s="75"/>
      <c r="D46" s="74"/>
      <c r="E46" s="61"/>
      <c r="F46" s="76"/>
    </row>
  </sheetData>
  <sheetProtection formatCells="0" formatColumns="0" formatRows="0" insertColumns="0" insertRows="0" insertHyperlinks="0" deleteColumns="0" deleteRows="0" sort="0" autoFilter="0" pivotTables="0"/>
  <mergeCells count="12">
    <mergeCell ref="B41:B42"/>
    <mergeCell ref="A4:F4"/>
    <mergeCell ref="A3:F3"/>
    <mergeCell ref="A14:B14"/>
    <mergeCell ref="D14:E14"/>
    <mergeCell ref="A6:B6"/>
    <mergeCell ref="A7:B7"/>
    <mergeCell ref="A8:B8"/>
    <mergeCell ref="A9:B9"/>
    <mergeCell ref="A10:B10"/>
    <mergeCell ref="A11:B11"/>
    <mergeCell ref="A13:B13"/>
  </mergeCells>
  <conditionalFormatting sqref="D16">
    <cfRule type="cellIs" dxfId="36" priority="1" operator="notBetween">
      <formula>IF(C38&lt;=80,-10.5%,IF(C38&lt;250,-7.5%,-5.5%))</formula>
      <formula>IF(C38&lt;=80,10.5%, IF(C38&lt;250,7.5%, C38*5.5%))</formula>
    </cfRule>
  </conditionalFormatting>
  <conditionalFormatting sqref="D17">
    <cfRule type="cellIs" dxfId="35" priority="2" operator="notBetween">
      <formula>IF(C38&lt;=80,-10.5%,IF(C38&lt;250,-7.5%,-5.5%))</formula>
      <formula>IF(C38&lt;=80,10.5%, IF(C38&lt;250,7.5%, C38*5.5%))</formula>
    </cfRule>
  </conditionalFormatting>
  <conditionalFormatting sqref="D18">
    <cfRule type="cellIs" dxfId="34" priority="3" operator="notBetween">
      <formula>IF(C38&lt;=80,-10.5%,IF(C38&lt;250,-7.5%,-5.5%))</formula>
      <formula>IF(C38&lt;=80,10.5%, IF(C38&lt;250,7.5%, C38*5.5%))</formula>
    </cfRule>
  </conditionalFormatting>
  <conditionalFormatting sqref="D19">
    <cfRule type="cellIs" dxfId="33" priority="4" operator="notBetween">
      <formula>IF(C38&lt;=80,-10.5%,IF(C38&lt;250,-7.5%,-5.5%))</formula>
      <formula>IF(C38&lt;=80,10.5%, IF(C38&lt;250,7.5%, C38*5.5%))</formula>
    </cfRule>
  </conditionalFormatting>
  <conditionalFormatting sqref="D20">
    <cfRule type="cellIs" dxfId="32" priority="5" operator="notBetween">
      <formula>IF(C38&lt;=80,-10.5%,IF(C38&lt;250,-7.5%,-5.5%))</formula>
      <formula>IF(C38&lt;=80,10.5%, IF(C38&lt;250,7.5%, C38*5.5%))</formula>
    </cfRule>
  </conditionalFormatting>
  <conditionalFormatting sqref="D21">
    <cfRule type="cellIs" dxfId="31" priority="6" operator="notBetween">
      <formula>IF(C38&lt;=80,-10.5%,IF(C38&lt;250,-7.5%,-5.5%))</formula>
      <formula>IF(C38&lt;=80,10.5%, IF(C38&lt;250,7.5%, C38*5.5%))</formula>
    </cfRule>
  </conditionalFormatting>
  <conditionalFormatting sqref="D22">
    <cfRule type="cellIs" dxfId="30" priority="7" operator="notBetween">
      <formula>IF(C38&lt;=80,-10.5%,IF(C38&lt;250,-7.5%,-5.5%))</formula>
      <formula>IF(C38&lt;=80,10.5%, IF(C38&lt;250,7.5%, C38*5.5%))</formula>
    </cfRule>
  </conditionalFormatting>
  <conditionalFormatting sqref="D23">
    <cfRule type="cellIs" dxfId="29" priority="8" operator="notBetween">
      <formula>IF(C38&lt;=80,-10.5%,IF(C38&lt;250,-7.5%,-5.5%))</formula>
      <formula>IF(C38&lt;=80,10.5%, IF(C38&lt;250,7.5%, C38*5.5%))</formula>
    </cfRule>
  </conditionalFormatting>
  <conditionalFormatting sqref="D24">
    <cfRule type="cellIs" dxfId="28" priority="9" operator="notBetween">
      <formula>IF(C38&lt;=80,-10.5%,IF(C38&lt;250,-7.5%,-5.5%))</formula>
      <formula>IF(C38&lt;=80,10.5%, IF(C38&lt;250,7.5%, C38*5.5%))</formula>
    </cfRule>
  </conditionalFormatting>
  <conditionalFormatting sqref="D25">
    <cfRule type="cellIs" dxfId="27" priority="10" operator="notBetween">
      <formula>IF(C38&lt;=80,-10.5%,IF(C38&lt;250,-7.5%,-5.5%))</formula>
      <formula>IF(C38&lt;=80,10.5%, IF(C38&lt;250,7.5%, C38*5.5%))</formula>
    </cfRule>
  </conditionalFormatting>
  <conditionalFormatting sqref="D26">
    <cfRule type="cellIs" dxfId="26" priority="11" operator="notBetween">
      <formula>IF(C38&lt;=80,-10.5%,IF(C38&lt;250,-7.5%,-5.5%))</formula>
      <formula>IF(C38&lt;=80,10.5%, IF(C38&lt;250,7.5%, C38*5.5%))</formula>
    </cfRule>
  </conditionalFormatting>
  <conditionalFormatting sqref="D27">
    <cfRule type="cellIs" dxfId="25" priority="12" operator="notBetween">
      <formula>IF(C38&lt;=80,-10.5%,IF(C38&lt;250,-7.5%,-5.5%))</formula>
      <formula>IF(C38&lt;=80,10.5%, IF(C38&lt;250,7.5%, C38*5.5%))</formula>
    </cfRule>
  </conditionalFormatting>
  <conditionalFormatting sqref="D28">
    <cfRule type="cellIs" dxfId="24" priority="13" operator="notBetween">
      <formula>IF(C38&lt;=80,-10.5%,IF(C38&lt;250,-7.5%,-5.5%))</formula>
      <formula>IF(C38&lt;=80,10.5%, IF(C38&lt;250,7.5%, C38*5.5%))</formula>
    </cfRule>
  </conditionalFormatting>
  <conditionalFormatting sqref="D29">
    <cfRule type="cellIs" dxfId="23" priority="14" operator="notBetween">
      <formula>IF(C38&lt;=80,-10.5%,IF(C38&lt;250,-7.5%,-5.5%))</formula>
      <formula>IF(C38&lt;=80,10.5%, IF(C38&lt;250,7.5%, C38*5.5%))</formula>
    </cfRule>
  </conditionalFormatting>
  <conditionalFormatting sqref="D30">
    <cfRule type="cellIs" dxfId="22" priority="15" operator="notBetween">
      <formula>IF(C38&lt;=80,-10.5%,IF(C38&lt;250,-7.5%,-5.5%))</formula>
      <formula>IF(C38&lt;=80,10.5%, IF(C38&lt;250,7.5%, C38*5.5%))</formula>
    </cfRule>
  </conditionalFormatting>
  <conditionalFormatting sqref="D31">
    <cfRule type="cellIs" dxfId="21" priority="16" operator="notBetween">
      <formula>IF(C38&lt;=80,-10.5%,IF(C38&lt;250,-7.5%,-5.5%))</formula>
      <formula>IF(C38&lt;=80,10.5%, IF(C38&lt;250,7.5%, C38*5.5%))</formula>
    </cfRule>
  </conditionalFormatting>
  <conditionalFormatting sqref="D32">
    <cfRule type="cellIs" dxfId="20" priority="17" operator="notBetween">
      <formula>IF(C38&lt;=80,-10.5%,IF(C38&lt;250,-7.5%,-5.5%))</formula>
      <formula>IF(C38&lt;=80,10.5%, IF(C38&lt;250,7.5%, C38*5.5%))</formula>
    </cfRule>
  </conditionalFormatting>
  <conditionalFormatting sqref="D33">
    <cfRule type="cellIs" dxfId="19" priority="18" operator="notBetween">
      <formula>IF(C38&lt;=80,-10.5%,IF(C38&lt;250,-7.5%,-5.5%))</formula>
      <formula>IF(C38&lt;=80,10.5%, IF(C38&lt;250,7.5%, C38*5.5%))</formula>
    </cfRule>
  </conditionalFormatting>
  <conditionalFormatting sqref="D34">
    <cfRule type="cellIs" dxfId="18" priority="19" operator="notBetween">
      <formula>IF(C38&lt;=80,-10.5%,IF(C38&lt;250,-7.5%,-5.5%))</formula>
      <formula>IF(C38&lt;=80,10.5%, IF(C38&lt;250,7.5%, C38*5.5%))</formula>
    </cfRule>
  </conditionalFormatting>
  <conditionalFormatting sqref="D35">
    <cfRule type="cellIs" dxfId="17" priority="20" operator="notBetween">
      <formula>IF(C38&lt;=80,-10.5%,IF(C38&lt;250,-7.5%,-5.5%))</formula>
      <formula>IF(C38&lt;=80,10.5%, IF(C38&lt;250,7.5%, C38*5.5%))</formula>
    </cfRule>
  </conditionalFormatting>
  <conditionalFormatting sqref="D36">
    <cfRule type="cellIs" dxfId="16" priority="21" operator="notBetween">
      <formula>IF(C38&lt;=80,-10.5%,IF(C38&lt;250,-7.5%,-5.5%))</formula>
      <formula>IF(C38&lt;=80,10.5%, IF(C38&lt;250,7.5%, C38*5.5%))</formula>
    </cfRule>
  </conditionalFormatting>
  <pageMargins left="0.75" right="0.75" top="1" bottom="1" header="0.5" footer="0.5"/>
  <pageSetup scale="6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6"/>
  <sheetViews>
    <sheetView topLeftCell="A73" zoomScale="62" zoomScaleNormal="62" workbookViewId="0">
      <selection activeCell="F99" sqref="F99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12" ht="19.5" customHeight="1" x14ac:dyDescent="0.3">
      <c r="A1" s="98"/>
    </row>
    <row r="2" spans="1:12" ht="19.5" customHeight="1" x14ac:dyDescent="0.3">
      <c r="A2" s="298" t="s">
        <v>31</v>
      </c>
      <c r="B2" s="299"/>
      <c r="C2" s="299"/>
      <c r="D2" s="299"/>
      <c r="E2" s="299"/>
      <c r="F2" s="299"/>
      <c r="G2" s="299"/>
      <c r="H2" s="300"/>
    </row>
    <row r="3" spans="1:12" ht="20.25" customHeight="1" x14ac:dyDescent="0.25">
      <c r="A3" s="301" t="s">
        <v>45</v>
      </c>
      <c r="B3" s="301"/>
      <c r="C3" s="301"/>
      <c r="D3" s="301"/>
      <c r="E3" s="301"/>
      <c r="F3" s="301"/>
      <c r="G3" s="301"/>
      <c r="H3" s="301"/>
    </row>
    <row r="4" spans="1:12" ht="26.25" customHeight="1" x14ac:dyDescent="0.4">
      <c r="A4" s="100" t="s">
        <v>33</v>
      </c>
      <c r="B4" s="297" t="s">
        <v>5</v>
      </c>
      <c r="C4" s="297"/>
      <c r="D4" s="280"/>
      <c r="E4" s="101"/>
      <c r="F4" s="102"/>
      <c r="G4" s="102"/>
      <c r="H4" s="102"/>
    </row>
    <row r="5" spans="1:12" ht="26.25" customHeight="1" x14ac:dyDescent="0.4">
      <c r="A5" s="100" t="s">
        <v>34</v>
      </c>
      <c r="B5" s="103" t="s">
        <v>7</v>
      </c>
      <c r="C5" s="102">
        <v>1</v>
      </c>
      <c r="D5" s="102"/>
      <c r="E5" s="102"/>
      <c r="F5" s="102"/>
      <c r="G5" s="102"/>
      <c r="H5" s="102"/>
    </row>
    <row r="6" spans="1:12" ht="26.25" customHeight="1" x14ac:dyDescent="0.4">
      <c r="A6" s="100" t="s">
        <v>35</v>
      </c>
      <c r="B6" s="302" t="s">
        <v>9</v>
      </c>
      <c r="C6" s="302"/>
      <c r="D6" s="102"/>
      <c r="E6" s="102"/>
      <c r="F6" s="102"/>
      <c r="G6" s="102"/>
      <c r="H6" s="102"/>
    </row>
    <row r="7" spans="1:12" ht="26.25" customHeight="1" x14ac:dyDescent="0.4">
      <c r="A7" s="100" t="s">
        <v>36</v>
      </c>
      <c r="B7" s="302" t="s">
        <v>11</v>
      </c>
      <c r="C7" s="302"/>
      <c r="D7" s="302"/>
      <c r="E7" s="302"/>
      <c r="F7" s="302"/>
      <c r="G7" s="302"/>
      <c r="H7" s="302"/>
      <c r="I7" s="104"/>
    </row>
    <row r="8" spans="1:12" ht="26.25" customHeight="1" x14ac:dyDescent="0.4">
      <c r="A8" s="100" t="s">
        <v>37</v>
      </c>
      <c r="B8" s="105" t="s">
        <v>12</v>
      </c>
      <c r="C8" s="102"/>
      <c r="D8" s="102"/>
      <c r="E8" s="102"/>
      <c r="F8" s="102"/>
      <c r="G8" s="102"/>
      <c r="H8" s="102"/>
    </row>
    <row r="9" spans="1:12" ht="26.25" customHeight="1" x14ac:dyDescent="0.4">
      <c r="A9" s="100" t="s">
        <v>38</v>
      </c>
      <c r="B9" s="105"/>
      <c r="C9" s="102"/>
      <c r="D9" s="102"/>
      <c r="E9" s="102"/>
      <c r="F9" s="102"/>
      <c r="G9" s="102"/>
      <c r="H9" s="102"/>
    </row>
    <row r="10" spans="1:12" ht="18.75" x14ac:dyDescent="0.3">
      <c r="A10" s="100"/>
      <c r="B10" s="106"/>
    </row>
    <row r="11" spans="1:12" ht="18.75" x14ac:dyDescent="0.3">
      <c r="A11" s="107" t="s">
        <v>1</v>
      </c>
      <c r="B11" s="106"/>
    </row>
    <row r="12" spans="1:12" ht="26.25" customHeight="1" x14ac:dyDescent="0.4">
      <c r="A12" s="108" t="s">
        <v>4</v>
      </c>
      <c r="B12" s="297" t="str">
        <f>B6</f>
        <v>Fexofenadine Hydrochloride</v>
      </c>
      <c r="C12" s="297"/>
    </row>
    <row r="13" spans="1:12" ht="26.25" customHeight="1" x14ac:dyDescent="0.4">
      <c r="A13" s="109" t="s">
        <v>46</v>
      </c>
      <c r="B13" s="303" t="s">
        <v>123</v>
      </c>
      <c r="C13" s="303"/>
    </row>
    <row r="14" spans="1:12" ht="27" customHeight="1" x14ac:dyDescent="0.4">
      <c r="A14" s="109" t="s">
        <v>6</v>
      </c>
      <c r="B14" s="110">
        <v>99.15</v>
      </c>
    </row>
    <row r="15" spans="1:12" s="14" customFormat="1" ht="27" customHeight="1" x14ac:dyDescent="0.4">
      <c r="A15" s="109" t="s">
        <v>47</v>
      </c>
      <c r="B15" s="111">
        <v>0.12</v>
      </c>
      <c r="C15" s="304" t="s">
        <v>48</v>
      </c>
      <c r="D15" s="305"/>
      <c r="E15" s="305"/>
      <c r="F15" s="305"/>
      <c r="G15" s="306"/>
      <c r="I15" s="112"/>
      <c r="J15" s="112"/>
      <c r="K15" s="112"/>
      <c r="L15" s="112"/>
    </row>
    <row r="16" spans="1:12" s="14" customFormat="1" ht="19.5" customHeight="1" x14ac:dyDescent="0.3">
      <c r="A16" s="109" t="s">
        <v>49</v>
      </c>
      <c r="B16" s="113">
        <f>B14-B15</f>
        <v>99.03</v>
      </c>
      <c r="C16" s="114"/>
      <c r="D16" s="114"/>
      <c r="E16" s="114"/>
      <c r="F16" s="114"/>
      <c r="G16" s="115"/>
      <c r="I16" s="112"/>
      <c r="J16" s="112"/>
      <c r="K16" s="112"/>
      <c r="L16" s="112"/>
    </row>
    <row r="17" spans="1:14" s="14" customFormat="1" ht="27" customHeight="1" x14ac:dyDescent="0.4">
      <c r="A17" s="109" t="s">
        <v>50</v>
      </c>
      <c r="B17" s="116">
        <v>1</v>
      </c>
      <c r="C17" s="307" t="s">
        <v>51</v>
      </c>
      <c r="D17" s="308"/>
      <c r="E17" s="308"/>
      <c r="F17" s="308"/>
      <c r="G17" s="308"/>
      <c r="H17" s="309"/>
      <c r="I17" s="112"/>
      <c r="J17" s="112"/>
      <c r="K17" s="112"/>
      <c r="L17" s="112"/>
    </row>
    <row r="18" spans="1:14" s="14" customFormat="1" ht="27" customHeight="1" x14ac:dyDescent="0.4">
      <c r="A18" s="109" t="s">
        <v>52</v>
      </c>
      <c r="B18" s="116">
        <v>1</v>
      </c>
      <c r="C18" s="307" t="s">
        <v>53</v>
      </c>
      <c r="D18" s="308"/>
      <c r="E18" s="308"/>
      <c r="F18" s="308"/>
      <c r="G18" s="308"/>
      <c r="H18" s="309"/>
      <c r="I18" s="112"/>
      <c r="J18" s="112"/>
      <c r="K18" s="112"/>
      <c r="L18" s="117"/>
      <c r="M18" s="117"/>
      <c r="N18" s="118"/>
    </row>
    <row r="19" spans="1:14" s="14" customFormat="1" ht="17.25" customHeight="1" x14ac:dyDescent="0.3">
      <c r="A19" s="109"/>
      <c r="B19" s="119"/>
      <c r="C19" s="120"/>
      <c r="D19" s="120"/>
      <c r="E19" s="120"/>
      <c r="F19" s="120"/>
      <c r="G19" s="120"/>
      <c r="H19" s="120"/>
      <c r="I19" s="112"/>
      <c r="J19" s="112"/>
      <c r="K19" s="112"/>
      <c r="L19" s="117"/>
      <c r="M19" s="117"/>
      <c r="N19" s="118"/>
    </row>
    <row r="20" spans="1:14" s="14" customFormat="1" ht="18.75" x14ac:dyDescent="0.3">
      <c r="A20" s="109" t="s">
        <v>54</v>
      </c>
      <c r="B20" s="121">
        <f>B17/B18</f>
        <v>1</v>
      </c>
      <c r="C20" s="99" t="s">
        <v>55</v>
      </c>
      <c r="D20" s="99"/>
      <c r="E20" s="99"/>
      <c r="F20" s="99"/>
      <c r="G20" s="99"/>
      <c r="I20" s="112"/>
      <c r="J20" s="112"/>
      <c r="K20" s="112"/>
      <c r="L20" s="117"/>
      <c r="M20" s="117"/>
      <c r="N20" s="118"/>
    </row>
    <row r="21" spans="1:14" s="14" customFormat="1" ht="19.5" customHeight="1" x14ac:dyDescent="0.3">
      <c r="A21" s="109"/>
      <c r="B21" s="113"/>
      <c r="G21" s="99"/>
      <c r="I21" s="112"/>
      <c r="J21" s="112"/>
      <c r="K21" s="112"/>
      <c r="L21" s="117"/>
      <c r="M21" s="117"/>
      <c r="N21" s="118"/>
    </row>
    <row r="22" spans="1:14" s="14" customFormat="1" ht="27" customHeight="1" x14ac:dyDescent="0.4">
      <c r="A22" s="122" t="s">
        <v>56</v>
      </c>
      <c r="B22" s="123">
        <v>50</v>
      </c>
      <c r="C22" s="99"/>
      <c r="D22" s="310" t="s">
        <v>57</v>
      </c>
      <c r="E22" s="311"/>
      <c r="F22" s="310" t="s">
        <v>58</v>
      </c>
      <c r="G22" s="312"/>
      <c r="J22" s="112"/>
      <c r="K22" s="112"/>
      <c r="L22" s="117"/>
      <c r="M22" s="117"/>
      <c r="N22" s="118"/>
    </row>
    <row r="23" spans="1:14" s="14" customFormat="1" ht="27" customHeight="1" x14ac:dyDescent="0.4">
      <c r="A23" s="124" t="s">
        <v>59</v>
      </c>
      <c r="B23" s="125">
        <v>5</v>
      </c>
      <c r="C23" s="126" t="s">
        <v>60</v>
      </c>
      <c r="D23" s="127" t="s">
        <v>61</v>
      </c>
      <c r="E23" s="128" t="s">
        <v>62</v>
      </c>
      <c r="F23" s="127" t="s">
        <v>61</v>
      </c>
      <c r="G23" s="129" t="s">
        <v>62</v>
      </c>
      <c r="I23" s="130" t="s">
        <v>63</v>
      </c>
      <c r="J23" s="112"/>
      <c r="K23" s="112"/>
      <c r="L23" s="117"/>
      <c r="M23" s="117"/>
      <c r="N23" s="118"/>
    </row>
    <row r="24" spans="1:14" s="14" customFormat="1" ht="26.25" customHeight="1" x14ac:dyDescent="0.4">
      <c r="A24" s="124" t="s">
        <v>64</v>
      </c>
      <c r="B24" s="125">
        <v>100</v>
      </c>
      <c r="C24" s="131">
        <v>1</v>
      </c>
      <c r="D24" s="132">
        <v>10489874</v>
      </c>
      <c r="E24" s="133">
        <f>IF(ISBLANK(D24),"-",$D$34/$D$31*D24)</f>
        <v>10204838.571912484</v>
      </c>
      <c r="F24" s="132">
        <v>10213103</v>
      </c>
      <c r="G24" s="134">
        <f>IF(ISBLANK(F24),"-",$D$34/$F$31*F24)</f>
        <v>10211030.160877341</v>
      </c>
      <c r="I24" s="135"/>
      <c r="J24" s="112"/>
      <c r="K24" s="112"/>
      <c r="L24" s="117"/>
      <c r="M24" s="117"/>
      <c r="N24" s="118"/>
    </row>
    <row r="25" spans="1:14" s="14" customFormat="1" ht="26.25" customHeight="1" x14ac:dyDescent="0.4">
      <c r="A25" s="124" t="s">
        <v>65</v>
      </c>
      <c r="B25" s="125">
        <v>1</v>
      </c>
      <c r="C25" s="136">
        <v>2</v>
      </c>
      <c r="D25" s="137">
        <v>10489197</v>
      </c>
      <c r="E25" s="138">
        <f>IF(ISBLANK(D25),"-",$D$34/$D$31*D25)</f>
        <v>10204179.967651537</v>
      </c>
      <c r="F25" s="137">
        <v>10253849</v>
      </c>
      <c r="G25" s="139">
        <f>IF(ISBLANK(F25),"-",$D$34/$F$31*F25)</f>
        <v>10251767.891118104</v>
      </c>
      <c r="I25" s="313">
        <f>ABS((F29/D29*D28)-F28)/D28</f>
        <v>2.9087188489010838E-3</v>
      </c>
      <c r="J25" s="112"/>
      <c r="K25" s="112"/>
      <c r="L25" s="117"/>
      <c r="M25" s="117"/>
      <c r="N25" s="118"/>
    </row>
    <row r="26" spans="1:14" ht="26.25" customHeight="1" x14ac:dyDescent="0.4">
      <c r="A26" s="124" t="s">
        <v>66</v>
      </c>
      <c r="B26" s="125">
        <v>1</v>
      </c>
      <c r="C26" s="136">
        <v>3</v>
      </c>
      <c r="D26" s="137">
        <v>10496607</v>
      </c>
      <c r="E26" s="138">
        <f>IF(ISBLANK(D26),"-",$D$34/$D$31*D26)</f>
        <v>10211388.619902067</v>
      </c>
      <c r="F26" s="137">
        <v>10251225</v>
      </c>
      <c r="G26" s="139">
        <f>IF(ISBLANK(F26),"-",$D$34/$F$31*F26)</f>
        <v>10249144.423681993</v>
      </c>
      <c r="I26" s="313"/>
      <c r="L26" s="117"/>
      <c r="M26" s="117"/>
      <c r="N26" s="140"/>
    </row>
    <row r="27" spans="1:14" ht="27" customHeight="1" x14ac:dyDescent="0.4">
      <c r="A27" s="124" t="s">
        <v>67</v>
      </c>
      <c r="B27" s="125">
        <v>1</v>
      </c>
      <c r="C27" s="141">
        <v>4</v>
      </c>
      <c r="D27" s="142"/>
      <c r="E27" s="143" t="str">
        <f>IF(ISBLANK(D27),"-",$D$34/$D$31*D27)</f>
        <v>-</v>
      </c>
      <c r="F27" s="142"/>
      <c r="G27" s="144" t="str">
        <f>IF(ISBLANK(F27),"-",$D$34/$F$31*F27)</f>
        <v>-</v>
      </c>
      <c r="I27" s="145"/>
      <c r="L27" s="117"/>
      <c r="M27" s="117"/>
      <c r="N27" s="140"/>
    </row>
    <row r="28" spans="1:14" ht="27" customHeight="1" x14ac:dyDescent="0.4">
      <c r="A28" s="124" t="s">
        <v>68</v>
      </c>
      <c r="B28" s="125">
        <v>1</v>
      </c>
      <c r="C28" s="146" t="s">
        <v>69</v>
      </c>
      <c r="D28" s="147">
        <f>AVERAGE(D24:D27)</f>
        <v>10491892.666666666</v>
      </c>
      <c r="E28" s="148">
        <f>AVERAGE(E24:E27)</f>
        <v>10206802.386488697</v>
      </c>
      <c r="F28" s="147">
        <f>AVERAGE(F24:F27)</f>
        <v>10239392.333333334</v>
      </c>
      <c r="G28" s="149">
        <f>AVERAGE(G24:G27)</f>
        <v>10237314.158559145</v>
      </c>
      <c r="H28" s="150"/>
    </row>
    <row r="29" spans="1:14" ht="26.25" customHeight="1" x14ac:dyDescent="0.4">
      <c r="A29" s="124" t="s">
        <v>70</v>
      </c>
      <c r="B29" s="125">
        <v>1</v>
      </c>
      <c r="C29" s="151" t="s">
        <v>71</v>
      </c>
      <c r="D29" s="152">
        <v>15.57</v>
      </c>
      <c r="E29" s="140"/>
      <c r="F29" s="152">
        <v>15.15</v>
      </c>
      <c r="H29" s="150"/>
    </row>
    <row r="30" spans="1:14" ht="26.25" customHeight="1" x14ac:dyDescent="0.4">
      <c r="A30" s="124" t="s">
        <v>72</v>
      </c>
      <c r="B30" s="125">
        <v>1</v>
      </c>
      <c r="C30" s="153" t="s">
        <v>73</v>
      </c>
      <c r="D30" s="154">
        <f>D29*$B$20</f>
        <v>15.57</v>
      </c>
      <c r="E30" s="155"/>
      <c r="F30" s="154">
        <f>F29*$B$20</f>
        <v>15.15</v>
      </c>
      <c r="H30" s="150"/>
    </row>
    <row r="31" spans="1:14" ht="19.5" customHeight="1" x14ac:dyDescent="0.3">
      <c r="A31" s="124" t="s">
        <v>74</v>
      </c>
      <c r="B31" s="156">
        <f>(B30/B29)*(B28/B27)*(B26/B25)*(B24/B23)*B22</f>
        <v>1000</v>
      </c>
      <c r="C31" s="153" t="s">
        <v>75</v>
      </c>
      <c r="D31" s="157">
        <f>D30*$B$16/100</f>
        <v>15.418971000000001</v>
      </c>
      <c r="E31" s="158"/>
      <c r="F31" s="157">
        <f>F30*$B$16/100</f>
        <v>15.003045</v>
      </c>
      <c r="H31" s="150"/>
    </row>
    <row r="32" spans="1:14" ht="19.5" customHeight="1" x14ac:dyDescent="0.3">
      <c r="A32" s="314" t="s">
        <v>76</v>
      </c>
      <c r="B32" s="315"/>
      <c r="C32" s="153" t="s">
        <v>77</v>
      </c>
      <c r="D32" s="159">
        <f>D31/$B$31</f>
        <v>1.5418971E-2</v>
      </c>
      <c r="E32" s="160"/>
      <c r="F32" s="161">
        <f>F31/$B$31</f>
        <v>1.5003045E-2</v>
      </c>
      <c r="H32" s="150"/>
    </row>
    <row r="33" spans="1:12" ht="27" customHeight="1" x14ac:dyDescent="0.4">
      <c r="A33" s="316"/>
      <c r="B33" s="317"/>
      <c r="C33" s="162" t="s">
        <v>78</v>
      </c>
      <c r="D33" s="163">
        <v>1.4999999999999999E-2</v>
      </c>
      <c r="E33" s="164"/>
      <c r="F33" s="160"/>
      <c r="H33" s="150"/>
    </row>
    <row r="34" spans="1:12" ht="18.75" x14ac:dyDescent="0.3">
      <c r="C34" s="165" t="s">
        <v>79</v>
      </c>
      <c r="D34" s="157">
        <f>D33*$B$31</f>
        <v>15</v>
      </c>
      <c r="F34" s="166"/>
      <c r="H34" s="150"/>
    </row>
    <row r="35" spans="1:12" ht="19.5" customHeight="1" x14ac:dyDescent="0.3">
      <c r="C35" s="167" t="s">
        <v>80</v>
      </c>
      <c r="D35" s="168">
        <f>D34/B20</f>
        <v>15</v>
      </c>
      <c r="F35" s="166"/>
      <c r="H35" s="150"/>
    </row>
    <row r="36" spans="1:12" ht="18.75" x14ac:dyDescent="0.3">
      <c r="C36" s="122" t="s">
        <v>81</v>
      </c>
      <c r="D36" s="169">
        <f>AVERAGE(E24:E27,G24:G27)</f>
        <v>10222058.272523919</v>
      </c>
      <c r="F36" s="170"/>
      <c r="H36" s="150"/>
    </row>
    <row r="37" spans="1:12" ht="18.75" x14ac:dyDescent="0.3">
      <c r="C37" s="124" t="s">
        <v>82</v>
      </c>
      <c r="D37" s="171">
        <f>STDEV(E24:E27,G24:G27)/D36</f>
        <v>2.1734186200477552E-3</v>
      </c>
      <c r="F37" s="170"/>
      <c r="H37" s="150"/>
    </row>
    <row r="38" spans="1:12" ht="19.5" customHeight="1" x14ac:dyDescent="0.3">
      <c r="C38" s="172" t="s">
        <v>20</v>
      </c>
      <c r="D38" s="173">
        <f>COUNT(E24:E27,G24:G27)</f>
        <v>6</v>
      </c>
      <c r="F38" s="170"/>
      <c r="G38" s="2">
        <f>15/50*5/100</f>
        <v>1.4999999999999999E-2</v>
      </c>
    </row>
    <row r="39" spans="1:12" x14ac:dyDescent="0.25">
      <c r="G39" s="2">
        <v>120</v>
      </c>
      <c r="H39" s="2">
        <v>378</v>
      </c>
    </row>
    <row r="40" spans="1:12" ht="18.75" x14ac:dyDescent="0.3">
      <c r="A40" s="174" t="s">
        <v>1</v>
      </c>
      <c r="B40" s="175" t="s">
        <v>83</v>
      </c>
    </row>
    <row r="41" spans="1:12" ht="18.75" x14ac:dyDescent="0.3">
      <c r="A41" s="99" t="s">
        <v>84</v>
      </c>
      <c r="B41" s="176" t="str">
        <f>B7</f>
        <v>Fexofenadine Hydrochloride 120 mg</v>
      </c>
    </row>
    <row r="42" spans="1:12" ht="26.25" customHeight="1" x14ac:dyDescent="0.4">
      <c r="A42" s="177" t="s">
        <v>85</v>
      </c>
      <c r="B42" s="178">
        <v>120</v>
      </c>
      <c r="C42" s="99" t="str">
        <f>B6</f>
        <v>Fexofenadine Hydrochloride</v>
      </c>
      <c r="H42" s="179"/>
    </row>
    <row r="43" spans="1:12" ht="18.75" x14ac:dyDescent="0.3">
      <c r="A43" s="176" t="s">
        <v>86</v>
      </c>
      <c r="B43" s="180">
        <f>Uniformity!C38</f>
        <v>378.10300000000001</v>
      </c>
      <c r="H43" s="179"/>
    </row>
    <row r="44" spans="1:12" ht="19.5" customHeight="1" x14ac:dyDescent="0.3">
      <c r="H44" s="179"/>
    </row>
    <row r="45" spans="1:12" s="14" customFormat="1" ht="27" customHeight="1" x14ac:dyDescent="0.4">
      <c r="A45" s="122" t="s">
        <v>87</v>
      </c>
      <c r="B45" s="123">
        <v>100</v>
      </c>
      <c r="C45" s="99"/>
      <c r="D45" s="181" t="s">
        <v>88</v>
      </c>
      <c r="E45" s="182" t="s">
        <v>60</v>
      </c>
      <c r="F45" s="182" t="s">
        <v>61</v>
      </c>
      <c r="G45" s="182" t="s">
        <v>89</v>
      </c>
      <c r="H45" s="126" t="s">
        <v>90</v>
      </c>
      <c r="L45" s="112"/>
    </row>
    <row r="46" spans="1:12" s="14" customFormat="1" ht="26.25" customHeight="1" x14ac:dyDescent="0.4">
      <c r="A46" s="124" t="s">
        <v>91</v>
      </c>
      <c r="B46" s="125">
        <v>3</v>
      </c>
      <c r="C46" s="318" t="s">
        <v>92</v>
      </c>
      <c r="D46" s="321">
        <v>190.71</v>
      </c>
      <c r="E46" s="183">
        <v>1</v>
      </c>
      <c r="F46" s="184">
        <v>12916409</v>
      </c>
      <c r="G46" s="185">
        <f>IF(ISBLANK(F46),"-",(F46/$D$36*$D$33*$B$54)*($B$43/$D$46))</f>
        <v>125.25933380735934</v>
      </c>
      <c r="H46" s="186">
        <f>IF(ISBLANK(F46),"-",G46/$B$42)</f>
        <v>1.0438277817279944</v>
      </c>
      <c r="L46" s="112"/>
    </row>
    <row r="47" spans="1:12" s="14" customFormat="1" ht="26.25" customHeight="1" x14ac:dyDescent="0.4">
      <c r="A47" s="124" t="s">
        <v>93</v>
      </c>
      <c r="B47" s="125">
        <v>100</v>
      </c>
      <c r="C47" s="319"/>
      <c r="D47" s="322"/>
      <c r="E47" s="187">
        <v>2</v>
      </c>
      <c r="F47" s="137">
        <v>12932018</v>
      </c>
      <c r="G47" s="188">
        <f>IF(ISBLANK(F47),"-",(F47/$D$36*$D$33*$B$54)*($B$43/$D$46))</f>
        <v>125.4107050546928</v>
      </c>
      <c r="H47" s="189">
        <f t="shared" ref="H47:H57" si="0">IF(ISBLANK(F47),"-",G47/$B$42)</f>
        <v>1.0450892087891066</v>
      </c>
      <c r="L47" s="112"/>
    </row>
    <row r="48" spans="1:12" s="14" customFormat="1" ht="26.25" customHeight="1" x14ac:dyDescent="0.4">
      <c r="A48" s="124" t="s">
        <v>94</v>
      </c>
      <c r="B48" s="125">
        <v>1</v>
      </c>
      <c r="C48" s="319"/>
      <c r="D48" s="322"/>
      <c r="E48" s="187">
        <v>3</v>
      </c>
      <c r="F48" s="190">
        <v>12915136</v>
      </c>
      <c r="G48" s="188">
        <f>IF(ISBLANK(F48),"-",(F48/$D$36*$D$33*$B$54)*($B$43/$D$46))</f>
        <v>125.24698864765304</v>
      </c>
      <c r="H48" s="189">
        <f t="shared" si="0"/>
        <v>1.0437249053971087</v>
      </c>
      <c r="L48" s="112"/>
    </row>
    <row r="49" spans="1:8" ht="27" customHeight="1" x14ac:dyDescent="0.4">
      <c r="A49" s="124" t="s">
        <v>95</v>
      </c>
      <c r="B49" s="125">
        <v>1</v>
      </c>
      <c r="C49" s="320"/>
      <c r="D49" s="323"/>
      <c r="E49" s="191">
        <v>4</v>
      </c>
      <c r="F49" s="192"/>
      <c r="G49" s="188" t="str">
        <f>IF(ISBLANK(F49),"-",(F49/$D$36*$D$33*$B$54)*($B$43/$D$46))</f>
        <v>-</v>
      </c>
      <c r="H49" s="189" t="str">
        <f t="shared" si="0"/>
        <v>-</v>
      </c>
    </row>
    <row r="50" spans="1:8" ht="26.25" customHeight="1" x14ac:dyDescent="0.4">
      <c r="A50" s="124" t="s">
        <v>96</v>
      </c>
      <c r="B50" s="125">
        <v>1</v>
      </c>
      <c r="C50" s="318" t="s">
        <v>97</v>
      </c>
      <c r="D50" s="321">
        <v>184.49</v>
      </c>
      <c r="E50" s="183">
        <v>1</v>
      </c>
      <c r="F50" s="184">
        <v>12578731</v>
      </c>
      <c r="G50" s="193">
        <f>IF(ISBLANK(F50),"-",(F50/$D$36*$D$33*$B$54)*($B$43/$D$50))</f>
        <v>126.09729606863847</v>
      </c>
      <c r="H50" s="194">
        <f>IF(ISBLANK(F50),"-",G50/$B$42)</f>
        <v>1.0508108005719872</v>
      </c>
    </row>
    <row r="51" spans="1:8" ht="26.25" customHeight="1" x14ac:dyDescent="0.4">
      <c r="A51" s="124" t="s">
        <v>98</v>
      </c>
      <c r="B51" s="125">
        <v>1</v>
      </c>
      <c r="C51" s="319"/>
      <c r="D51" s="322"/>
      <c r="E51" s="187">
        <v>2</v>
      </c>
      <c r="F51" s="137">
        <v>12541794</v>
      </c>
      <c r="G51" s="195">
        <f>IF(ISBLANK(F51),"-",(F51/$D$36*$D$33*$B$54)*($B$43/$D$50))</f>
        <v>125.72701580547938</v>
      </c>
      <c r="H51" s="196">
        <f>IF(ISBLANK(F51),"-",G51/$B$42)</f>
        <v>1.0477251317123282</v>
      </c>
    </row>
    <row r="52" spans="1:8" ht="26.25" customHeight="1" x14ac:dyDescent="0.4">
      <c r="A52" s="124" t="s">
        <v>99</v>
      </c>
      <c r="B52" s="125">
        <v>1</v>
      </c>
      <c r="C52" s="319"/>
      <c r="D52" s="322"/>
      <c r="E52" s="187">
        <v>3</v>
      </c>
      <c r="F52" s="137">
        <v>12544656</v>
      </c>
      <c r="G52" s="195">
        <f>IF(ISBLANK(F52),"-",(F52/$D$36*$D$33*$B$54)*($B$43/$D$50))</f>
        <v>125.75570633565674</v>
      </c>
      <c r="H52" s="196">
        <f t="shared" si="0"/>
        <v>1.0479642194638061</v>
      </c>
    </row>
    <row r="53" spans="1:8" ht="27" customHeight="1" x14ac:dyDescent="0.4">
      <c r="A53" s="124" t="s">
        <v>100</v>
      </c>
      <c r="B53" s="125">
        <v>1</v>
      </c>
      <c r="C53" s="320"/>
      <c r="D53" s="323"/>
      <c r="E53" s="191">
        <v>4</v>
      </c>
      <c r="F53" s="192"/>
      <c r="G53" s="197" t="str">
        <f>IF(ISBLANK(F53),"-",(F53/$D$36*$D$33*$B$54)*($B$43/$D$50))</f>
        <v>-</v>
      </c>
      <c r="H53" s="198" t="str">
        <f t="shared" si="0"/>
        <v>-</v>
      </c>
    </row>
    <row r="54" spans="1:8" ht="26.25" customHeight="1" x14ac:dyDescent="0.4">
      <c r="A54" s="124" t="s">
        <v>101</v>
      </c>
      <c r="B54" s="199">
        <f>(B53/B52)*(B51/B50)*(B49/B48)*(B47/B46)*B45</f>
        <v>3333.3333333333335</v>
      </c>
      <c r="C54" s="318" t="s">
        <v>102</v>
      </c>
      <c r="D54" s="321">
        <v>185.51</v>
      </c>
      <c r="E54" s="183">
        <v>1</v>
      </c>
      <c r="F54" s="184">
        <v>12658286</v>
      </c>
      <c r="G54" s="193">
        <f>IF(ISBLANK(F54),"-",(F54/$D$36*$D$33*$B$54)*($B$43/$D$54))</f>
        <v>126.19709378916744</v>
      </c>
      <c r="H54" s="189">
        <f>IF(ISBLANK(F54),"-",G54/$B$42)</f>
        <v>1.051642448243062</v>
      </c>
    </row>
    <row r="55" spans="1:8" ht="27" customHeight="1" x14ac:dyDescent="0.4">
      <c r="A55" s="172" t="s">
        <v>103</v>
      </c>
      <c r="B55" s="200">
        <f>(D33*B54)/B42*B43</f>
        <v>157.54291666666668</v>
      </c>
      <c r="C55" s="319"/>
      <c r="D55" s="322"/>
      <c r="E55" s="187">
        <v>2</v>
      </c>
      <c r="F55" s="137">
        <v>12664133</v>
      </c>
      <c r="G55" s="195">
        <f>IF(ISBLANK(F55),"-",(F55/$D$36*$D$33*$B$54)*($B$43/$D$54))</f>
        <v>126.25538559955828</v>
      </c>
      <c r="H55" s="189">
        <f t="shared" si="0"/>
        <v>1.0521282133296523</v>
      </c>
    </row>
    <row r="56" spans="1:8" ht="26.25" customHeight="1" x14ac:dyDescent="0.4">
      <c r="A56" s="327" t="s">
        <v>76</v>
      </c>
      <c r="B56" s="328"/>
      <c r="C56" s="319"/>
      <c r="D56" s="322"/>
      <c r="E56" s="187">
        <v>3</v>
      </c>
      <c r="F56" s="137">
        <v>12667983</v>
      </c>
      <c r="G56" s="195">
        <f>IF(ISBLANK(F56),"-",(F56/$D$36*$D$33*$B$54)*($B$43/$D$54))</f>
        <v>126.29376826930428</v>
      </c>
      <c r="H56" s="189">
        <f t="shared" si="0"/>
        <v>1.0524480689108691</v>
      </c>
    </row>
    <row r="57" spans="1:8" ht="27" customHeight="1" x14ac:dyDescent="0.4">
      <c r="A57" s="329"/>
      <c r="B57" s="330"/>
      <c r="C57" s="326"/>
      <c r="D57" s="323"/>
      <c r="E57" s="191">
        <v>4</v>
      </c>
      <c r="F57" s="192"/>
      <c r="G57" s="197" t="str">
        <f>IF(ISBLANK(F57),"-",(F57/$D$36*$D$33*$B$54)*($B$43/$D$54))</f>
        <v>-</v>
      </c>
      <c r="H57" s="201" t="str">
        <f t="shared" si="0"/>
        <v>-</v>
      </c>
    </row>
    <row r="58" spans="1:8" ht="26.25" customHeight="1" x14ac:dyDescent="0.4">
      <c r="A58" s="202"/>
      <c r="B58" s="202"/>
      <c r="C58" s="202"/>
      <c r="D58" s="202"/>
      <c r="E58" s="202"/>
      <c r="F58" s="203"/>
      <c r="G58" s="204" t="s">
        <v>69</v>
      </c>
      <c r="H58" s="205">
        <f>AVERAGE(H46:H57)</f>
        <v>1.0483734197939905</v>
      </c>
    </row>
    <row r="59" spans="1:8" ht="26.25" customHeight="1" x14ac:dyDescent="0.4">
      <c r="C59" s="202"/>
      <c r="D59" s="202"/>
      <c r="E59" s="202"/>
      <c r="F59" s="203"/>
      <c r="G59" s="206" t="s">
        <v>82</v>
      </c>
      <c r="H59" s="207">
        <f>STDEV(H46:H57)/H58</f>
        <v>3.388781317510694E-3</v>
      </c>
    </row>
    <row r="60" spans="1:8" ht="27" customHeight="1" x14ac:dyDescent="0.4">
      <c r="A60" s="202"/>
      <c r="B60" s="202"/>
      <c r="C60" s="203"/>
      <c r="D60" s="203"/>
      <c r="E60" s="208"/>
      <c r="F60" s="203"/>
      <c r="G60" s="209" t="s">
        <v>20</v>
      </c>
      <c r="H60" s="210">
        <f>COUNT(H46:H57)</f>
        <v>9</v>
      </c>
    </row>
    <row r="62" spans="1:8" ht="26.25" customHeight="1" x14ac:dyDescent="0.4">
      <c r="A62" s="108" t="s">
        <v>104</v>
      </c>
      <c r="B62" s="211" t="s">
        <v>105</v>
      </c>
      <c r="C62" s="331" t="str">
        <f>B6</f>
        <v>Fexofenadine Hydrochloride</v>
      </c>
      <c r="D62" s="331"/>
      <c r="E62" s="212" t="s">
        <v>106</v>
      </c>
      <c r="F62" s="212"/>
      <c r="G62" s="213">
        <f>H58</f>
        <v>1.0483734197939905</v>
      </c>
      <c r="H62" s="214"/>
    </row>
    <row r="63" spans="1:8" ht="18.75" x14ac:dyDescent="0.3">
      <c r="A63" s="107" t="s">
        <v>107</v>
      </c>
      <c r="B63" s="107" t="s">
        <v>108</v>
      </c>
    </row>
    <row r="64" spans="1:8" ht="18.75" x14ac:dyDescent="0.3">
      <c r="A64" s="107"/>
      <c r="B64" s="107"/>
    </row>
    <row r="65" spans="1:12" ht="26.25" customHeight="1" x14ac:dyDescent="0.4">
      <c r="A65" s="108" t="s">
        <v>4</v>
      </c>
      <c r="B65" s="332" t="str">
        <f>B12</f>
        <v>Fexofenadine Hydrochloride</v>
      </c>
      <c r="C65" s="332"/>
    </row>
    <row r="66" spans="1:12" ht="26.25" customHeight="1" x14ac:dyDescent="0.4">
      <c r="A66" s="109" t="s">
        <v>46</v>
      </c>
      <c r="B66" s="332" t="str">
        <f>B13</f>
        <v>BFFH/1410147</v>
      </c>
      <c r="C66" s="332"/>
    </row>
    <row r="67" spans="1:12" ht="27" customHeight="1" x14ac:dyDescent="0.4">
      <c r="A67" s="109" t="s">
        <v>6</v>
      </c>
      <c r="B67" s="215">
        <f>B14</f>
        <v>99.15</v>
      </c>
    </row>
    <row r="68" spans="1:12" s="14" customFormat="1" ht="27" customHeight="1" x14ac:dyDescent="0.4">
      <c r="A68" s="109" t="s">
        <v>47</v>
      </c>
      <c r="B68" s="111">
        <v>0</v>
      </c>
      <c r="C68" s="304" t="s">
        <v>48</v>
      </c>
      <c r="D68" s="305"/>
      <c r="E68" s="305"/>
      <c r="F68" s="305"/>
      <c r="G68" s="306"/>
      <c r="I68" s="112"/>
      <c r="J68" s="112"/>
      <c r="K68" s="112"/>
      <c r="L68" s="112"/>
    </row>
    <row r="69" spans="1:12" s="14" customFormat="1" ht="19.5" customHeight="1" x14ac:dyDescent="0.3">
      <c r="A69" s="109" t="s">
        <v>49</v>
      </c>
      <c r="B69" s="113">
        <f>B67-B68</f>
        <v>99.15</v>
      </c>
      <c r="C69" s="114"/>
      <c r="D69" s="114"/>
      <c r="E69" s="114"/>
      <c r="F69" s="114"/>
      <c r="G69" s="115"/>
      <c r="I69" s="112"/>
      <c r="J69" s="112"/>
      <c r="K69" s="112"/>
      <c r="L69" s="112"/>
    </row>
    <row r="70" spans="1:12" s="14" customFormat="1" ht="27" customHeight="1" x14ac:dyDescent="0.4">
      <c r="A70" s="109" t="s">
        <v>50</v>
      </c>
      <c r="B70" s="116">
        <v>1</v>
      </c>
      <c r="C70" s="307" t="s">
        <v>109</v>
      </c>
      <c r="D70" s="308"/>
      <c r="E70" s="308"/>
      <c r="F70" s="308"/>
      <c r="G70" s="308"/>
      <c r="H70" s="309"/>
      <c r="I70" s="112"/>
      <c r="J70" s="112"/>
      <c r="K70" s="112"/>
      <c r="L70" s="112"/>
    </row>
    <row r="71" spans="1:12" s="14" customFormat="1" ht="27" customHeight="1" x14ac:dyDescent="0.4">
      <c r="A71" s="109" t="s">
        <v>52</v>
      </c>
      <c r="B71" s="116">
        <v>1</v>
      </c>
      <c r="C71" s="307" t="s">
        <v>110</v>
      </c>
      <c r="D71" s="308"/>
      <c r="E71" s="308"/>
      <c r="F71" s="308"/>
      <c r="G71" s="308"/>
      <c r="H71" s="309"/>
      <c r="I71" s="112"/>
      <c r="J71" s="112"/>
      <c r="K71" s="112"/>
      <c r="L71" s="112"/>
    </row>
    <row r="72" spans="1:12" s="14" customFormat="1" ht="18.75" x14ac:dyDescent="0.3">
      <c r="A72" s="109"/>
      <c r="B72" s="119"/>
      <c r="C72" s="120"/>
      <c r="D72" s="120"/>
      <c r="E72" s="120"/>
      <c r="F72" s="120"/>
      <c r="G72" s="120"/>
      <c r="H72" s="120"/>
      <c r="I72" s="112"/>
      <c r="J72" s="112"/>
      <c r="K72" s="112"/>
      <c r="L72" s="112"/>
    </row>
    <row r="73" spans="1:12" s="14" customFormat="1" ht="18.75" x14ac:dyDescent="0.3">
      <c r="A73" s="109" t="s">
        <v>54</v>
      </c>
      <c r="B73" s="121">
        <f>B70/B71</f>
        <v>1</v>
      </c>
      <c r="C73" s="99" t="s">
        <v>55</v>
      </c>
      <c r="D73" s="99"/>
      <c r="E73" s="99"/>
      <c r="F73" s="99"/>
      <c r="G73" s="99"/>
      <c r="I73" s="112"/>
      <c r="J73" s="112"/>
      <c r="K73" s="112"/>
      <c r="L73" s="112"/>
    </row>
    <row r="74" spans="1:12" ht="19.5" customHeight="1" x14ac:dyDescent="0.3">
      <c r="A74" s="107"/>
      <c r="B74" s="107"/>
    </row>
    <row r="75" spans="1:12" ht="27" customHeight="1" x14ac:dyDescent="0.4">
      <c r="A75" s="122" t="s">
        <v>56</v>
      </c>
      <c r="B75" s="123">
        <v>20</v>
      </c>
      <c r="D75" s="216" t="s">
        <v>57</v>
      </c>
      <c r="E75" s="217"/>
      <c r="F75" s="310" t="s">
        <v>58</v>
      </c>
      <c r="G75" s="312"/>
    </row>
    <row r="76" spans="1:12" ht="27" customHeight="1" x14ac:dyDescent="0.4">
      <c r="A76" s="124" t="s">
        <v>59</v>
      </c>
      <c r="B76" s="125">
        <v>3</v>
      </c>
      <c r="C76" s="218" t="s">
        <v>60</v>
      </c>
      <c r="D76" s="127" t="s">
        <v>61</v>
      </c>
      <c r="E76" s="128" t="s">
        <v>62</v>
      </c>
      <c r="F76" s="127" t="s">
        <v>61</v>
      </c>
      <c r="G76" s="219" t="s">
        <v>62</v>
      </c>
      <c r="I76" s="130" t="s">
        <v>63</v>
      </c>
    </row>
    <row r="77" spans="1:12" ht="26.25" customHeight="1" x14ac:dyDescent="0.4">
      <c r="A77" s="124" t="s">
        <v>64</v>
      </c>
      <c r="B77" s="125">
        <v>10</v>
      </c>
      <c r="C77" s="220">
        <v>1</v>
      </c>
      <c r="D77" s="132">
        <v>29902386</v>
      </c>
      <c r="E77" s="133">
        <f>IF(ISBLANK(D77),"-",$D$87/$D$84*D77)</f>
        <v>18475371.927174691</v>
      </c>
      <c r="F77" s="132">
        <v>32912902</v>
      </c>
      <c r="G77" s="134">
        <f>IF(ISBLANK(F77),"-",$D$87/$F$84*F77)</f>
        <v>19361364.835278936</v>
      </c>
      <c r="I77" s="135"/>
    </row>
    <row r="78" spans="1:12" ht="26.25" customHeight="1" x14ac:dyDescent="0.4">
      <c r="A78" s="124" t="s">
        <v>65</v>
      </c>
      <c r="B78" s="125">
        <v>1</v>
      </c>
      <c r="C78" s="203">
        <v>2</v>
      </c>
      <c r="D78" s="137">
        <v>30805019</v>
      </c>
      <c r="E78" s="138">
        <f>IF(ISBLANK(D78),"-",$D$87/$D$84*D78)</f>
        <v>19033069.24232344</v>
      </c>
      <c r="F78" s="137">
        <v>32391949</v>
      </c>
      <c r="G78" s="139">
        <f>IF(ISBLANK(F78),"-",$D$87/$F$84*F78)</f>
        <v>19054908.689447947</v>
      </c>
      <c r="I78" s="313">
        <f>ABS((F82/D82*D81)-F81)/D81</f>
        <v>2.2261258154219678E-2</v>
      </c>
    </row>
    <row r="79" spans="1:12" ht="26.25" customHeight="1" x14ac:dyDescent="0.4">
      <c r="A79" s="124" t="s">
        <v>66</v>
      </c>
      <c r="B79" s="125">
        <v>1</v>
      </c>
      <c r="C79" s="203">
        <v>3</v>
      </c>
      <c r="D79" s="137">
        <v>30595436</v>
      </c>
      <c r="E79" s="138">
        <f>IF(ISBLANK(D79),"-",$D$87/$D$84*D79)</f>
        <v>18903577.104986537</v>
      </c>
      <c r="F79" s="137">
        <v>32623964</v>
      </c>
      <c r="G79" s="139">
        <f>IF(ISBLANK(F79),"-",$D$87/$F$84*F79)</f>
        <v>19191393.982123055</v>
      </c>
      <c r="I79" s="313"/>
    </row>
    <row r="80" spans="1:12" ht="27" customHeight="1" x14ac:dyDescent="0.4">
      <c r="A80" s="124" t="s">
        <v>67</v>
      </c>
      <c r="B80" s="125">
        <v>1</v>
      </c>
      <c r="C80" s="221">
        <v>4</v>
      </c>
      <c r="D80" s="142"/>
      <c r="E80" s="143" t="str">
        <f>IF(ISBLANK(D80),"-",$D$87/$D$84*D80)</f>
        <v>-</v>
      </c>
      <c r="F80" s="222"/>
      <c r="G80" s="144" t="str">
        <f>IF(ISBLANK(F80),"-",$D$87/$F$84*F80)</f>
        <v>-</v>
      </c>
      <c r="I80" s="145"/>
    </row>
    <row r="81" spans="1:10" ht="27" customHeight="1" x14ac:dyDescent="0.4">
      <c r="A81" s="124" t="s">
        <v>68</v>
      </c>
      <c r="B81" s="125">
        <v>1</v>
      </c>
      <c r="C81" s="223" t="s">
        <v>69</v>
      </c>
      <c r="D81" s="224">
        <f>AVERAGE(D77:D80)</f>
        <v>30434280.333333332</v>
      </c>
      <c r="E81" s="148">
        <f>AVERAGE(E77:E80)</f>
        <v>18804006.091494888</v>
      </c>
      <c r="F81" s="225">
        <f>AVERAGE(F77:F80)</f>
        <v>32642938.333333332</v>
      </c>
      <c r="G81" s="226">
        <f>AVERAGE(G77:G80)</f>
        <v>19202555.835616644</v>
      </c>
    </row>
    <row r="82" spans="1:10" ht="26.25" customHeight="1" x14ac:dyDescent="0.4">
      <c r="A82" s="124" t="s">
        <v>70</v>
      </c>
      <c r="B82" s="110">
        <v>1</v>
      </c>
      <c r="C82" s="227" t="s">
        <v>111</v>
      </c>
      <c r="D82" s="228">
        <v>14.51</v>
      </c>
      <c r="E82" s="140"/>
      <c r="F82" s="152">
        <v>15.24</v>
      </c>
    </row>
    <row r="83" spans="1:10" ht="26.25" customHeight="1" x14ac:dyDescent="0.4">
      <c r="A83" s="124" t="s">
        <v>72</v>
      </c>
      <c r="B83" s="110">
        <v>1</v>
      </c>
      <c r="C83" s="229" t="s">
        <v>112</v>
      </c>
      <c r="D83" s="230">
        <f>D82*$B$73</f>
        <v>14.51</v>
      </c>
      <c r="E83" s="155"/>
      <c r="F83" s="154">
        <f>F82*$B$73</f>
        <v>15.24</v>
      </c>
    </row>
    <row r="84" spans="1:10" ht="19.5" customHeight="1" x14ac:dyDescent="0.3">
      <c r="A84" s="124" t="s">
        <v>74</v>
      </c>
      <c r="B84" s="231">
        <f>(B83/B82)*(B81/B80)*(B79/B78)*(B77/B76)*B75</f>
        <v>66.666666666666671</v>
      </c>
      <c r="C84" s="229" t="s">
        <v>113</v>
      </c>
      <c r="D84" s="232">
        <f>D83*$B$69/100</f>
        <v>14.386665000000001</v>
      </c>
      <c r="E84" s="158"/>
      <c r="F84" s="157">
        <f>F83*$B$69/100</f>
        <v>15.11046</v>
      </c>
    </row>
    <row r="85" spans="1:10" ht="19.5" customHeight="1" x14ac:dyDescent="0.3">
      <c r="A85" s="314" t="s">
        <v>76</v>
      </c>
      <c r="B85" s="324"/>
      <c r="C85" s="229" t="s">
        <v>114</v>
      </c>
      <c r="D85" s="233">
        <f>D84/$B$84</f>
        <v>0.215799975</v>
      </c>
      <c r="E85" s="158"/>
      <c r="F85" s="161">
        <f>F84/$B$84</f>
        <v>0.22665689999999999</v>
      </c>
      <c r="G85" s="234"/>
      <c r="H85" s="150"/>
    </row>
    <row r="86" spans="1:10" ht="19.5" customHeight="1" x14ac:dyDescent="0.3">
      <c r="A86" s="316"/>
      <c r="B86" s="325"/>
      <c r="C86" s="229" t="s">
        <v>78</v>
      </c>
      <c r="D86" s="235">
        <f>$B$42/$B$102</f>
        <v>0.13333333333333333</v>
      </c>
      <c r="F86" s="166"/>
      <c r="G86" s="236"/>
      <c r="H86" s="150"/>
    </row>
    <row r="87" spans="1:10" ht="18.75" x14ac:dyDescent="0.3">
      <c r="C87" s="229" t="s">
        <v>79</v>
      </c>
      <c r="D87" s="230">
        <f>D86*$B$84</f>
        <v>8.8888888888888893</v>
      </c>
      <c r="F87" s="166"/>
      <c r="G87" s="234"/>
      <c r="H87" s="150"/>
    </row>
    <row r="88" spans="1:10" ht="19.5" customHeight="1" x14ac:dyDescent="0.3">
      <c r="C88" s="237" t="s">
        <v>80</v>
      </c>
      <c r="D88" s="238">
        <f>D87/B20</f>
        <v>8.8888888888888893</v>
      </c>
      <c r="F88" s="170"/>
      <c r="G88" s="234"/>
      <c r="H88" s="150"/>
      <c r="J88" s="239"/>
    </row>
    <row r="89" spans="1:10" ht="18.75" x14ac:dyDescent="0.3">
      <c r="C89" s="240" t="s">
        <v>115</v>
      </c>
      <c r="D89" s="241">
        <f>AVERAGE(E77:E80,G77:G80)</f>
        <v>19003280.963555764</v>
      </c>
      <c r="F89" s="170"/>
      <c r="G89" s="242"/>
      <c r="H89" s="150"/>
      <c r="J89" s="243"/>
    </row>
    <row r="90" spans="1:10" ht="18.75" x14ac:dyDescent="0.3">
      <c r="C90" s="206" t="s">
        <v>82</v>
      </c>
      <c r="D90" s="244">
        <f>STDEV(E77:E80,G77:G80)/D89</f>
        <v>1.5888021707741045E-2</v>
      </c>
      <c r="F90" s="170"/>
      <c r="G90" s="234"/>
      <c r="H90" s="150"/>
      <c r="J90" s="243"/>
    </row>
    <row r="91" spans="1:10" ht="19.5" customHeight="1" x14ac:dyDescent="0.3">
      <c r="C91" s="209" t="s">
        <v>20</v>
      </c>
      <c r="D91" s="245">
        <f>COUNT(E77:E80,G77:G80)</f>
        <v>6</v>
      </c>
      <c r="F91" s="170"/>
      <c r="G91" s="234"/>
      <c r="H91" s="150"/>
      <c r="J91" s="243"/>
    </row>
    <row r="92" spans="1:10" ht="19.5" customHeight="1" x14ac:dyDescent="0.3">
      <c r="A92" s="174"/>
      <c r="B92" s="174"/>
      <c r="C92" s="174"/>
      <c r="D92" s="174"/>
      <c r="E92" s="174"/>
    </row>
    <row r="93" spans="1:10" ht="26.25" customHeight="1" x14ac:dyDescent="0.4">
      <c r="A93" s="122" t="s">
        <v>116</v>
      </c>
      <c r="B93" s="123">
        <v>900</v>
      </c>
      <c r="C93" s="246" t="s">
        <v>117</v>
      </c>
      <c r="D93" s="247" t="s">
        <v>61</v>
      </c>
      <c r="E93" s="248" t="s">
        <v>118</v>
      </c>
      <c r="F93" s="249" t="s">
        <v>119</v>
      </c>
    </row>
    <row r="94" spans="1:10" ht="26.25" customHeight="1" x14ac:dyDescent="0.4">
      <c r="A94" s="124" t="s">
        <v>120</v>
      </c>
      <c r="B94" s="125">
        <v>1</v>
      </c>
      <c r="C94" s="250">
        <v>1</v>
      </c>
      <c r="D94" s="251">
        <v>15072821</v>
      </c>
      <c r="E94" s="252">
        <f t="shared" ref="E94:E99" si="1">IF(ISBLANK(D94),"-",D94/$D$89*$D$86*$B$102)</f>
        <v>95.180328253251332</v>
      </c>
      <c r="F94" s="253">
        <f>IF(ISBLANK(D94), "-", E94/$B$42)</f>
        <v>0.79316940211042775</v>
      </c>
    </row>
    <row r="95" spans="1:10" ht="26.25" customHeight="1" x14ac:dyDescent="0.4">
      <c r="A95" s="124" t="s">
        <v>93</v>
      </c>
      <c r="B95" s="125">
        <v>1</v>
      </c>
      <c r="C95" s="250">
        <v>2</v>
      </c>
      <c r="D95" s="251">
        <v>16409806</v>
      </c>
      <c r="E95" s="254">
        <f t="shared" si="1"/>
        <v>103.62298614520623</v>
      </c>
      <c r="F95" s="255">
        <f t="shared" ref="F95:F99" si="2">IF(ISBLANK(D95), "-", E95/$B$42)</f>
        <v>0.86352488454338527</v>
      </c>
    </row>
    <row r="96" spans="1:10" ht="26.25" customHeight="1" x14ac:dyDescent="0.4">
      <c r="A96" s="124" t="s">
        <v>94</v>
      </c>
      <c r="B96" s="125">
        <v>1</v>
      </c>
      <c r="C96" s="250">
        <v>3</v>
      </c>
      <c r="D96" s="251">
        <v>14866606</v>
      </c>
      <c r="E96" s="254">
        <f t="shared" si="1"/>
        <v>93.87814259134079</v>
      </c>
      <c r="F96" s="255">
        <f>IF(ISBLANK(D96), "-", E96/$B$42)</f>
        <v>0.7823178549278399</v>
      </c>
    </row>
    <row r="97" spans="1:10" ht="26.25" customHeight="1" x14ac:dyDescent="0.4">
      <c r="A97" s="124" t="s">
        <v>95</v>
      </c>
      <c r="B97" s="125">
        <v>1</v>
      </c>
      <c r="C97" s="250">
        <v>4</v>
      </c>
      <c r="D97" s="251">
        <v>14453918</v>
      </c>
      <c r="E97" s="254">
        <f t="shared" si="1"/>
        <v>91.272142075168134</v>
      </c>
      <c r="F97" s="255">
        <f t="shared" si="2"/>
        <v>0.76060118395973442</v>
      </c>
    </row>
    <row r="98" spans="1:10" ht="26.25" customHeight="1" x14ac:dyDescent="0.4">
      <c r="A98" s="124" t="s">
        <v>96</v>
      </c>
      <c r="B98" s="125">
        <v>1</v>
      </c>
      <c r="C98" s="250">
        <v>5</v>
      </c>
      <c r="D98" s="251">
        <v>15553344</v>
      </c>
      <c r="E98" s="254">
        <f t="shared" si="1"/>
        <v>98.214686378597435</v>
      </c>
      <c r="F98" s="255">
        <f>IF(ISBLANK(D98), "-", E98/$B$42)</f>
        <v>0.81845571982164533</v>
      </c>
    </row>
    <row r="99" spans="1:10" ht="26.25" customHeight="1" x14ac:dyDescent="0.4">
      <c r="A99" s="124" t="s">
        <v>98</v>
      </c>
      <c r="B99" s="125">
        <v>1</v>
      </c>
      <c r="C99" s="256">
        <v>6</v>
      </c>
      <c r="D99" s="257">
        <v>13676615</v>
      </c>
      <c r="E99" s="258">
        <f t="shared" si="1"/>
        <v>86.36370756962755</v>
      </c>
      <c r="F99" s="259">
        <f>IF(ISBLANK(D99), "-", E99/$B$42)</f>
        <v>0.71969756308022959</v>
      </c>
    </row>
    <row r="100" spans="1:10" ht="26.25" customHeight="1" x14ac:dyDescent="0.4">
      <c r="A100" s="124" t="s">
        <v>99</v>
      </c>
      <c r="B100" s="125">
        <v>1</v>
      </c>
      <c r="C100" s="250"/>
      <c r="D100" s="203"/>
      <c r="E100" s="98"/>
      <c r="F100" s="260"/>
    </row>
    <row r="101" spans="1:10" ht="26.25" customHeight="1" x14ac:dyDescent="0.4">
      <c r="A101" s="124" t="s">
        <v>100</v>
      </c>
      <c r="B101" s="125">
        <v>1</v>
      </c>
      <c r="C101" s="250"/>
      <c r="D101" s="261"/>
      <c r="E101" s="262" t="s">
        <v>69</v>
      </c>
      <c r="F101" s="263">
        <f>AVERAGE(F94:F99)</f>
        <v>0.78962776807387713</v>
      </c>
    </row>
    <row r="102" spans="1:10" ht="27" customHeight="1" x14ac:dyDescent="0.4">
      <c r="A102" s="124" t="s">
        <v>101</v>
      </c>
      <c r="B102" s="156">
        <f>(B101/B100)*(B99/B98)*(B97/B96)*(B95/B94)*B93</f>
        <v>900</v>
      </c>
      <c r="C102" s="264"/>
      <c r="D102" s="265"/>
      <c r="E102" s="223" t="s">
        <v>82</v>
      </c>
      <c r="F102" s="266">
        <f>STDEV(F94:F99)/F101</f>
        <v>6.2275369168803725E-2</v>
      </c>
      <c r="I102" s="98"/>
    </row>
    <row r="103" spans="1:10" ht="27" customHeight="1" x14ac:dyDescent="0.4">
      <c r="A103" s="314" t="s">
        <v>76</v>
      </c>
      <c r="B103" s="315"/>
      <c r="C103" s="267"/>
      <c r="D103" s="268"/>
      <c r="E103" s="269" t="s">
        <v>20</v>
      </c>
      <c r="F103" s="270">
        <f>COUNT(F94:F99)</f>
        <v>6</v>
      </c>
      <c r="I103" s="98"/>
      <c r="J103" s="243"/>
    </row>
    <row r="104" spans="1:10" ht="19.5" customHeight="1" x14ac:dyDescent="0.3">
      <c r="A104" s="316"/>
      <c r="B104" s="317"/>
      <c r="C104" s="98"/>
      <c r="D104" s="98"/>
      <c r="E104" s="98"/>
      <c r="F104" s="203"/>
      <c r="G104" s="98"/>
      <c r="H104" s="98"/>
      <c r="I104" s="98"/>
    </row>
    <row r="105" spans="1:10" ht="18.75" x14ac:dyDescent="0.3">
      <c r="A105" s="279"/>
      <c r="B105" s="120"/>
      <c r="C105" s="98"/>
      <c r="D105" s="98"/>
      <c r="E105" s="98"/>
      <c r="F105" s="203"/>
      <c r="G105" s="98"/>
      <c r="H105" s="98"/>
      <c r="I105" s="98"/>
    </row>
    <row r="106" spans="1:10" ht="26.25" customHeight="1" x14ac:dyDescent="0.4">
      <c r="A106" s="108" t="s">
        <v>104</v>
      </c>
      <c r="B106" s="211" t="s">
        <v>121</v>
      </c>
      <c r="C106" s="331" t="str">
        <f>B6</f>
        <v>Fexofenadine Hydrochloride</v>
      </c>
      <c r="D106" s="331"/>
      <c r="E106" s="212" t="s">
        <v>122</v>
      </c>
      <c r="F106" s="212"/>
      <c r="G106" s="213">
        <f>F101</f>
        <v>0.78962776807387713</v>
      </c>
      <c r="H106" s="98"/>
      <c r="I106" s="98"/>
    </row>
    <row r="107" spans="1:10" ht="19.5" customHeight="1" x14ac:dyDescent="0.3">
      <c r="A107" s="271"/>
      <c r="B107" s="271"/>
      <c r="C107" s="272"/>
      <c r="D107" s="272"/>
      <c r="E107" s="272"/>
      <c r="F107" s="272"/>
      <c r="G107" s="272"/>
      <c r="H107" s="272"/>
    </row>
    <row r="108" spans="1:10" ht="18.75" x14ac:dyDescent="0.3">
      <c r="B108" s="333" t="s">
        <v>26</v>
      </c>
      <c r="C108" s="333"/>
      <c r="E108" s="218" t="s">
        <v>27</v>
      </c>
      <c r="F108" s="273"/>
      <c r="G108" s="333" t="s">
        <v>28</v>
      </c>
      <c r="H108" s="333"/>
    </row>
    <row r="109" spans="1:10" ht="18.75" x14ac:dyDescent="0.3">
      <c r="A109" s="274" t="s">
        <v>29</v>
      </c>
      <c r="B109" s="275"/>
      <c r="C109" s="275"/>
      <c r="E109" s="275"/>
      <c r="F109" s="98"/>
      <c r="G109" s="276"/>
      <c r="H109" s="276"/>
    </row>
    <row r="110" spans="1:10" ht="18.75" x14ac:dyDescent="0.3">
      <c r="A110" s="274" t="s">
        <v>30</v>
      </c>
      <c r="B110" s="277"/>
      <c r="C110" s="277"/>
      <c r="E110" s="277"/>
      <c r="F110" s="98"/>
      <c r="G110" s="278"/>
      <c r="H110" s="278"/>
    </row>
    <row r="111" spans="1:10" ht="18.75" x14ac:dyDescent="0.3">
      <c r="A111" s="202"/>
      <c r="B111" s="202"/>
      <c r="C111" s="203"/>
      <c r="D111" s="203"/>
      <c r="E111" s="203"/>
      <c r="F111" s="208"/>
      <c r="G111" s="203"/>
      <c r="H111" s="203"/>
      <c r="I111" s="98"/>
    </row>
    <row r="112" spans="1:10" ht="18.75" x14ac:dyDescent="0.3">
      <c r="A112" s="202"/>
      <c r="B112" s="202"/>
      <c r="C112" s="203"/>
      <c r="D112" s="203"/>
      <c r="E112" s="203"/>
      <c r="F112" s="208"/>
      <c r="G112" s="203"/>
      <c r="H112" s="203"/>
      <c r="I112" s="98"/>
    </row>
    <row r="113" spans="1:9" ht="18.75" x14ac:dyDescent="0.3">
      <c r="A113" s="202"/>
      <c r="B113" s="202"/>
      <c r="C113" s="203"/>
      <c r="D113" s="203"/>
      <c r="E113" s="203"/>
      <c r="F113" s="208"/>
      <c r="G113" s="203"/>
      <c r="H113" s="203"/>
      <c r="I113" s="98"/>
    </row>
    <row r="114" spans="1:9" ht="18.75" x14ac:dyDescent="0.3">
      <c r="A114" s="202"/>
      <c r="B114" s="202"/>
      <c r="C114" s="203"/>
      <c r="D114" s="203"/>
      <c r="E114" s="203"/>
      <c r="F114" s="208"/>
      <c r="G114" s="203"/>
      <c r="H114" s="203"/>
      <c r="I114" s="98"/>
    </row>
    <row r="115" spans="1:9" ht="18.75" x14ac:dyDescent="0.3">
      <c r="A115" s="202"/>
      <c r="B115" s="202"/>
      <c r="C115" s="203"/>
      <c r="D115" s="203"/>
      <c r="E115" s="203"/>
      <c r="F115" s="208"/>
      <c r="G115" s="203"/>
      <c r="H115" s="203"/>
      <c r="I115" s="98"/>
    </row>
    <row r="116" spans="1:9" ht="18.75" x14ac:dyDescent="0.3">
      <c r="A116" s="202"/>
      <c r="B116" s="202"/>
      <c r="C116" s="203"/>
      <c r="D116" s="203"/>
      <c r="E116" s="203"/>
      <c r="F116" s="208"/>
      <c r="G116" s="203"/>
      <c r="H116" s="203"/>
      <c r="I116" s="98"/>
    </row>
    <row r="117" spans="1:9" ht="18.75" x14ac:dyDescent="0.3">
      <c r="A117" s="202"/>
      <c r="B117" s="202"/>
      <c r="C117" s="203"/>
      <c r="D117" s="203"/>
      <c r="E117" s="203"/>
      <c r="F117" s="208"/>
      <c r="G117" s="203"/>
      <c r="H117" s="203"/>
      <c r="I117" s="98"/>
    </row>
    <row r="118" spans="1:9" ht="18.75" x14ac:dyDescent="0.3">
      <c r="A118" s="202"/>
      <c r="B118" s="202"/>
      <c r="C118" s="203"/>
      <c r="D118" s="203"/>
      <c r="E118" s="203"/>
      <c r="F118" s="208"/>
      <c r="G118" s="203"/>
      <c r="H118" s="203"/>
      <c r="I118" s="98"/>
    </row>
    <row r="119" spans="1:9" ht="18.75" x14ac:dyDescent="0.3">
      <c r="A119" s="202"/>
      <c r="B119" s="202"/>
      <c r="C119" s="203"/>
      <c r="D119" s="203"/>
      <c r="E119" s="203"/>
      <c r="F119" s="208"/>
      <c r="G119" s="203"/>
      <c r="H119" s="203"/>
      <c r="I119" s="98"/>
    </row>
    <row r="236" spans="1:1" x14ac:dyDescent="0.25">
      <c r="A236" s="2">
        <v>5</v>
      </c>
    </row>
  </sheetData>
  <sheetProtection formatCells="0" formatColumns="0" formatRows="0" insertColumns="0" insertRows="0" insertHyperlinks="0" deleteColumns="0" deleteRows="0" sort="0" autoFilter="0" pivotTables="0"/>
  <mergeCells count="34">
    <mergeCell ref="A103:B104"/>
    <mergeCell ref="C106:D106"/>
    <mergeCell ref="B108:C108"/>
    <mergeCell ref="G108:H108"/>
    <mergeCell ref="C68:G68"/>
    <mergeCell ref="C70:H70"/>
    <mergeCell ref="C71:H71"/>
    <mergeCell ref="F75:G75"/>
    <mergeCell ref="I78:I79"/>
    <mergeCell ref="A85:B86"/>
    <mergeCell ref="C54:C57"/>
    <mergeCell ref="D54:D57"/>
    <mergeCell ref="A56:B57"/>
    <mergeCell ref="C62:D62"/>
    <mergeCell ref="B65:C65"/>
    <mergeCell ref="B66:C66"/>
    <mergeCell ref="I25:I26"/>
    <mergeCell ref="A32:B33"/>
    <mergeCell ref="C46:C49"/>
    <mergeCell ref="D46:D49"/>
    <mergeCell ref="C50:C53"/>
    <mergeCell ref="D50:D53"/>
    <mergeCell ref="B13:C13"/>
    <mergeCell ref="C15:G15"/>
    <mergeCell ref="C17:H17"/>
    <mergeCell ref="C18:H18"/>
    <mergeCell ref="D22:E22"/>
    <mergeCell ref="F22:G22"/>
    <mergeCell ref="B12:C12"/>
    <mergeCell ref="A2:H2"/>
    <mergeCell ref="A3:H3"/>
    <mergeCell ref="B4:C4"/>
    <mergeCell ref="B6:C6"/>
    <mergeCell ref="B7:H7"/>
  </mergeCells>
  <conditionalFormatting sqref="E37">
    <cfRule type="cellIs" dxfId="15" priority="1" operator="greaterThan">
      <formula>0.02</formula>
    </cfRule>
  </conditionalFormatting>
  <conditionalFormatting sqref="D37">
    <cfRule type="cellIs" dxfId="14" priority="2" operator="greaterThan">
      <formula>0.02</formula>
    </cfRule>
  </conditionalFormatting>
  <conditionalFormatting sqref="H59">
    <cfRule type="cellIs" dxfId="13" priority="3" operator="greaterThan">
      <formula>0.02</formula>
    </cfRule>
  </conditionalFormatting>
  <conditionalFormatting sqref="D90">
    <cfRule type="cellIs" dxfId="12" priority="4" operator="greaterThan">
      <formula>0.02</formula>
    </cfRule>
  </conditionalFormatting>
  <conditionalFormatting sqref="I25">
    <cfRule type="cellIs" dxfId="11" priority="5" operator="lessThanOrEqual">
      <formula>0.02</formula>
    </cfRule>
  </conditionalFormatting>
  <conditionalFormatting sqref="I25">
    <cfRule type="cellIs" dxfId="10" priority="6" operator="greaterThan">
      <formula>0.02</formula>
    </cfRule>
  </conditionalFormatting>
  <conditionalFormatting sqref="I78">
    <cfRule type="cellIs" dxfId="9" priority="7" operator="lessThanOrEqual">
      <formula>0.02</formula>
    </cfRule>
  </conditionalFormatting>
  <conditionalFormatting sqref="I78">
    <cfRule type="cellIs" dxfId="8" priority="8" operator="greaterThan">
      <formula>0.02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6"/>
  <sheetViews>
    <sheetView tabSelected="1" topLeftCell="B73" zoomScale="62" zoomScaleNormal="62" workbookViewId="0">
      <selection activeCell="H95" sqref="H95:H96"/>
    </sheetView>
  </sheetViews>
  <sheetFormatPr defaultColWidth="9.140625" defaultRowHeight="13.5" x14ac:dyDescent="0.25"/>
  <cols>
    <col min="1" max="1" width="55.42578125" style="234" customWidth="1"/>
    <col min="2" max="2" width="33.7109375" style="234" customWidth="1"/>
    <col min="3" max="3" width="42.28515625" style="234" customWidth="1"/>
    <col min="4" max="4" width="30.5703125" style="234" customWidth="1"/>
    <col min="5" max="5" width="39.85546875" style="234" customWidth="1"/>
    <col min="6" max="6" width="30.7109375" style="234" customWidth="1"/>
    <col min="7" max="7" width="39.85546875" style="234" customWidth="1"/>
    <col min="8" max="8" width="30" style="234" customWidth="1"/>
    <col min="9" max="9" width="30.28515625" style="234" hidden="1" customWidth="1"/>
    <col min="10" max="10" width="30.42578125" style="234" customWidth="1"/>
    <col min="11" max="11" width="21.28515625" style="234" customWidth="1"/>
    <col min="12" max="12" width="9.140625" style="234"/>
    <col min="13" max="16384" width="9.140625" style="44"/>
  </cols>
  <sheetData>
    <row r="1" spans="1:12" ht="19.5" customHeight="1" thickBot="1" x14ac:dyDescent="0.35">
      <c r="A1" s="212"/>
    </row>
    <row r="2" spans="1:12" ht="19.5" customHeight="1" thickBot="1" x14ac:dyDescent="0.35">
      <c r="A2" s="298" t="s">
        <v>31</v>
      </c>
      <c r="B2" s="299"/>
      <c r="C2" s="299"/>
      <c r="D2" s="299"/>
      <c r="E2" s="299"/>
      <c r="F2" s="299"/>
      <c r="G2" s="299"/>
      <c r="H2" s="300"/>
    </row>
    <row r="3" spans="1:12" ht="20.25" customHeight="1" x14ac:dyDescent="0.25">
      <c r="A3" s="301" t="s">
        <v>45</v>
      </c>
      <c r="B3" s="301"/>
      <c r="C3" s="301"/>
      <c r="D3" s="301"/>
      <c r="E3" s="301"/>
      <c r="F3" s="301"/>
      <c r="G3" s="301"/>
      <c r="H3" s="301"/>
    </row>
    <row r="4" spans="1:12" ht="26.25" customHeight="1" x14ac:dyDescent="0.4">
      <c r="A4" s="100" t="s">
        <v>33</v>
      </c>
      <c r="B4" s="297" t="s">
        <v>5</v>
      </c>
      <c r="C4" s="297"/>
      <c r="D4" s="280"/>
      <c r="E4" s="101"/>
      <c r="F4" s="102"/>
      <c r="G4" s="102"/>
      <c r="H4" s="102"/>
    </row>
    <row r="5" spans="1:12" ht="26.25" customHeight="1" x14ac:dyDescent="0.4">
      <c r="A5" s="100" t="s">
        <v>34</v>
      </c>
      <c r="B5" s="285" t="s">
        <v>7</v>
      </c>
      <c r="C5" s="102">
        <v>1</v>
      </c>
      <c r="D5" s="102"/>
      <c r="E5" s="102"/>
      <c r="F5" s="102"/>
      <c r="G5" s="102"/>
      <c r="H5" s="102"/>
    </row>
    <row r="6" spans="1:12" ht="26.25" customHeight="1" x14ac:dyDescent="0.4">
      <c r="A6" s="100" t="s">
        <v>35</v>
      </c>
      <c r="B6" s="302" t="s">
        <v>9</v>
      </c>
      <c r="C6" s="302"/>
      <c r="D6" s="102"/>
      <c r="E6" s="102"/>
      <c r="F6" s="102"/>
      <c r="G6" s="102"/>
      <c r="H6" s="102"/>
    </row>
    <row r="7" spans="1:12" ht="26.25" customHeight="1" x14ac:dyDescent="0.4">
      <c r="A7" s="100" t="s">
        <v>36</v>
      </c>
      <c r="B7" s="302" t="s">
        <v>11</v>
      </c>
      <c r="C7" s="302"/>
      <c r="D7" s="302"/>
      <c r="E7" s="302"/>
      <c r="F7" s="302"/>
      <c r="G7" s="302"/>
      <c r="H7" s="302"/>
      <c r="I7" s="104"/>
    </row>
    <row r="8" spans="1:12" ht="26.25" customHeight="1" x14ac:dyDescent="0.4">
      <c r="A8" s="100" t="s">
        <v>37</v>
      </c>
      <c r="B8" s="105" t="s">
        <v>12</v>
      </c>
      <c r="C8" s="102"/>
      <c r="D8" s="102"/>
      <c r="E8" s="102"/>
      <c r="F8" s="102"/>
      <c r="G8" s="102"/>
      <c r="H8" s="102"/>
    </row>
    <row r="9" spans="1:12" ht="26.25" customHeight="1" x14ac:dyDescent="0.4">
      <c r="A9" s="100" t="s">
        <v>38</v>
      </c>
      <c r="B9" s="105"/>
      <c r="C9" s="102"/>
      <c r="D9" s="102"/>
      <c r="E9" s="102"/>
      <c r="F9" s="102"/>
      <c r="G9" s="102"/>
      <c r="H9" s="102"/>
    </row>
    <row r="10" spans="1:12" ht="18.75" x14ac:dyDescent="0.3">
      <c r="A10" s="100"/>
      <c r="B10" s="106"/>
    </row>
    <row r="11" spans="1:12" ht="18.75" x14ac:dyDescent="0.3">
      <c r="A11" s="107" t="s">
        <v>1</v>
      </c>
      <c r="B11" s="106"/>
    </row>
    <row r="12" spans="1:12" ht="26.25" customHeight="1" x14ac:dyDescent="0.4">
      <c r="A12" s="274" t="s">
        <v>4</v>
      </c>
      <c r="B12" s="297" t="str">
        <f>B6</f>
        <v>Fexofenadine Hydrochloride</v>
      </c>
      <c r="C12" s="297"/>
    </row>
    <row r="13" spans="1:12" ht="26.25" customHeight="1" x14ac:dyDescent="0.4">
      <c r="A13" s="223" t="s">
        <v>46</v>
      </c>
      <c r="B13" s="303" t="s">
        <v>123</v>
      </c>
      <c r="C13" s="303"/>
    </row>
    <row r="14" spans="1:12" ht="27" customHeight="1" thickBot="1" x14ac:dyDescent="0.45">
      <c r="A14" s="223" t="s">
        <v>6</v>
      </c>
      <c r="B14" s="215">
        <v>99.15</v>
      </c>
    </row>
    <row r="15" spans="1:12" s="16" customFormat="1" ht="27" customHeight="1" thickBot="1" x14ac:dyDescent="0.45">
      <c r="A15" s="223" t="s">
        <v>47</v>
      </c>
      <c r="B15" s="111">
        <v>0.12</v>
      </c>
      <c r="C15" s="304" t="s">
        <v>48</v>
      </c>
      <c r="D15" s="305"/>
      <c r="E15" s="305"/>
      <c r="F15" s="305"/>
      <c r="G15" s="306"/>
      <c r="I15" s="112"/>
      <c r="J15" s="112"/>
      <c r="K15" s="112"/>
      <c r="L15" s="112"/>
    </row>
    <row r="16" spans="1:12" s="16" customFormat="1" ht="19.5" customHeight="1" thickBot="1" x14ac:dyDescent="0.35">
      <c r="A16" s="223" t="s">
        <v>49</v>
      </c>
      <c r="B16" s="281">
        <f>B14-B15</f>
        <v>99.03</v>
      </c>
      <c r="C16" s="114"/>
      <c r="D16" s="114"/>
      <c r="E16" s="114"/>
      <c r="F16" s="114"/>
      <c r="G16" s="115"/>
      <c r="I16" s="112"/>
      <c r="J16" s="112"/>
      <c r="K16" s="112"/>
      <c r="L16" s="112"/>
    </row>
    <row r="17" spans="1:14" s="16" customFormat="1" ht="27" customHeight="1" thickBot="1" x14ac:dyDescent="0.45">
      <c r="A17" s="223" t="s">
        <v>50</v>
      </c>
      <c r="B17" s="116">
        <v>1</v>
      </c>
      <c r="C17" s="307" t="s">
        <v>51</v>
      </c>
      <c r="D17" s="308"/>
      <c r="E17" s="308"/>
      <c r="F17" s="308"/>
      <c r="G17" s="308"/>
      <c r="H17" s="309"/>
      <c r="I17" s="112"/>
      <c r="J17" s="112"/>
      <c r="K17" s="112"/>
      <c r="L17" s="112"/>
    </row>
    <row r="18" spans="1:14" s="16" customFormat="1" ht="27" customHeight="1" thickBot="1" x14ac:dyDescent="0.45">
      <c r="A18" s="223" t="s">
        <v>52</v>
      </c>
      <c r="B18" s="116">
        <v>1</v>
      </c>
      <c r="C18" s="307" t="s">
        <v>53</v>
      </c>
      <c r="D18" s="308"/>
      <c r="E18" s="308"/>
      <c r="F18" s="308"/>
      <c r="G18" s="308"/>
      <c r="H18" s="309"/>
      <c r="I18" s="112"/>
      <c r="J18" s="112"/>
      <c r="K18" s="112"/>
      <c r="L18" s="117"/>
      <c r="M18" s="117"/>
      <c r="N18" s="118"/>
    </row>
    <row r="19" spans="1:14" s="16" customFormat="1" ht="17.25" customHeight="1" x14ac:dyDescent="0.3">
      <c r="A19" s="223"/>
      <c r="B19" s="119"/>
      <c r="C19" s="120"/>
      <c r="D19" s="120"/>
      <c r="E19" s="120"/>
      <c r="F19" s="120"/>
      <c r="G19" s="120"/>
      <c r="H19" s="120"/>
      <c r="I19" s="112"/>
      <c r="J19" s="112"/>
      <c r="K19" s="112"/>
      <c r="L19" s="117"/>
      <c r="M19" s="117"/>
      <c r="N19" s="118"/>
    </row>
    <row r="20" spans="1:14" s="16" customFormat="1" ht="18.75" x14ac:dyDescent="0.3">
      <c r="A20" s="223" t="s">
        <v>54</v>
      </c>
      <c r="B20" s="121">
        <f>B17/B18</f>
        <v>1</v>
      </c>
      <c r="C20" s="212" t="s">
        <v>55</v>
      </c>
      <c r="D20" s="212"/>
      <c r="E20" s="212"/>
      <c r="F20" s="212"/>
      <c r="G20" s="212"/>
      <c r="I20" s="112"/>
      <c r="J20" s="112"/>
      <c r="K20" s="112"/>
      <c r="L20" s="117"/>
      <c r="M20" s="117"/>
      <c r="N20" s="118"/>
    </row>
    <row r="21" spans="1:14" s="16" customFormat="1" ht="19.5" customHeight="1" thickBot="1" x14ac:dyDescent="0.35">
      <c r="A21" s="223"/>
      <c r="B21" s="281"/>
      <c r="G21" s="212"/>
      <c r="I21" s="112"/>
      <c r="J21" s="112"/>
      <c r="K21" s="112"/>
      <c r="L21" s="117"/>
      <c r="M21" s="117"/>
      <c r="N21" s="118"/>
    </row>
    <row r="22" spans="1:14" s="16" customFormat="1" ht="27" customHeight="1" thickBot="1" x14ac:dyDescent="0.45">
      <c r="A22" s="122" t="s">
        <v>56</v>
      </c>
      <c r="B22" s="123">
        <v>50</v>
      </c>
      <c r="C22" s="212"/>
      <c r="D22" s="310" t="s">
        <v>57</v>
      </c>
      <c r="E22" s="311"/>
      <c r="F22" s="310" t="s">
        <v>58</v>
      </c>
      <c r="G22" s="312"/>
      <c r="J22" s="112"/>
      <c r="K22" s="112"/>
      <c r="L22" s="117"/>
      <c r="M22" s="117"/>
      <c r="N22" s="118"/>
    </row>
    <row r="23" spans="1:14" s="16" customFormat="1" ht="27" customHeight="1" thickBot="1" x14ac:dyDescent="0.45">
      <c r="A23" s="124" t="s">
        <v>59</v>
      </c>
      <c r="B23" s="125">
        <v>5</v>
      </c>
      <c r="C23" s="126" t="s">
        <v>60</v>
      </c>
      <c r="D23" s="127" t="s">
        <v>61</v>
      </c>
      <c r="E23" s="128" t="s">
        <v>62</v>
      </c>
      <c r="F23" s="127" t="s">
        <v>61</v>
      </c>
      <c r="G23" s="129" t="s">
        <v>62</v>
      </c>
      <c r="I23" s="130" t="s">
        <v>63</v>
      </c>
      <c r="J23" s="112"/>
      <c r="K23" s="112"/>
      <c r="L23" s="117"/>
      <c r="M23" s="117"/>
      <c r="N23" s="118"/>
    </row>
    <row r="24" spans="1:14" s="16" customFormat="1" ht="26.25" customHeight="1" x14ac:dyDescent="0.4">
      <c r="A24" s="124" t="s">
        <v>64</v>
      </c>
      <c r="B24" s="125">
        <v>100</v>
      </c>
      <c r="C24" s="131">
        <v>1</v>
      </c>
      <c r="D24" s="132">
        <v>10489874</v>
      </c>
      <c r="E24" s="133">
        <f>IF(ISBLANK(D24),"-",$D$34/$D$31*D24)</f>
        <v>10204838.571912484</v>
      </c>
      <c r="F24" s="132">
        <v>10213103</v>
      </c>
      <c r="G24" s="134">
        <f>IF(ISBLANK(F24),"-",$D$34/$F$31*F24)</f>
        <v>10211030.160877341</v>
      </c>
      <c r="I24" s="135"/>
      <c r="J24" s="112"/>
      <c r="K24" s="112"/>
      <c r="L24" s="117"/>
      <c r="M24" s="117"/>
      <c r="N24" s="118"/>
    </row>
    <row r="25" spans="1:14" s="16" customFormat="1" ht="26.25" customHeight="1" x14ac:dyDescent="0.4">
      <c r="A25" s="124" t="s">
        <v>65</v>
      </c>
      <c r="B25" s="125">
        <v>1</v>
      </c>
      <c r="C25" s="156">
        <v>2</v>
      </c>
      <c r="D25" s="137">
        <v>10489197</v>
      </c>
      <c r="E25" s="138">
        <f>IF(ISBLANK(D25),"-",$D$34/$D$31*D25)</f>
        <v>10204179.967651537</v>
      </c>
      <c r="F25" s="137">
        <v>10253849</v>
      </c>
      <c r="G25" s="139">
        <f>IF(ISBLANK(F25),"-",$D$34/$F$31*F25)</f>
        <v>10251767.891118104</v>
      </c>
      <c r="I25" s="313">
        <f>ABS((F29/D29*D28)-F28)/D28</f>
        <v>2.9087188489010838E-3</v>
      </c>
      <c r="J25" s="112"/>
      <c r="K25" s="112"/>
      <c r="L25" s="117"/>
      <c r="M25" s="117"/>
      <c r="N25" s="118"/>
    </row>
    <row r="26" spans="1:14" ht="26.25" customHeight="1" x14ac:dyDescent="0.4">
      <c r="A26" s="124" t="s">
        <v>66</v>
      </c>
      <c r="B26" s="125">
        <v>1</v>
      </c>
      <c r="C26" s="156">
        <v>3</v>
      </c>
      <c r="D26" s="137">
        <v>10496607</v>
      </c>
      <c r="E26" s="138">
        <f>IF(ISBLANK(D26),"-",$D$34/$D$31*D26)</f>
        <v>10211388.619902067</v>
      </c>
      <c r="F26" s="137">
        <v>10251225</v>
      </c>
      <c r="G26" s="139">
        <f>IF(ISBLANK(F26),"-",$D$34/$F$31*F26)</f>
        <v>10249144.423681993</v>
      </c>
      <c r="I26" s="313"/>
      <c r="L26" s="117"/>
      <c r="M26" s="117"/>
      <c r="N26" s="212"/>
    </row>
    <row r="27" spans="1:14" ht="27" customHeight="1" thickBot="1" x14ac:dyDescent="0.45">
      <c r="A27" s="124" t="s">
        <v>67</v>
      </c>
      <c r="B27" s="125">
        <v>1</v>
      </c>
      <c r="C27" s="141">
        <v>4</v>
      </c>
      <c r="D27" s="142"/>
      <c r="E27" s="143" t="str">
        <f>IF(ISBLANK(D27),"-",$D$34/$D$31*D27)</f>
        <v>-</v>
      </c>
      <c r="F27" s="142"/>
      <c r="G27" s="144" t="str">
        <f>IF(ISBLANK(F27),"-",$D$34/$F$31*F27)</f>
        <v>-</v>
      </c>
      <c r="I27" s="145"/>
      <c r="L27" s="117"/>
      <c r="M27" s="117"/>
      <c r="N27" s="212"/>
    </row>
    <row r="28" spans="1:14" ht="27" customHeight="1" thickBot="1" x14ac:dyDescent="0.45">
      <c r="A28" s="124" t="s">
        <v>68</v>
      </c>
      <c r="B28" s="125">
        <v>1</v>
      </c>
      <c r="C28" s="146" t="s">
        <v>69</v>
      </c>
      <c r="D28" s="147">
        <f>AVERAGE(D24:D27)</f>
        <v>10491892.666666666</v>
      </c>
      <c r="E28" s="148">
        <f>AVERAGE(E24:E27)</f>
        <v>10206802.386488697</v>
      </c>
      <c r="F28" s="147">
        <f>AVERAGE(F24:F27)</f>
        <v>10239392.333333334</v>
      </c>
      <c r="G28" s="149">
        <f>AVERAGE(G24:G27)</f>
        <v>10237314.158559145</v>
      </c>
      <c r="H28" s="150"/>
    </row>
    <row r="29" spans="1:14" ht="26.25" customHeight="1" x14ac:dyDescent="0.4">
      <c r="A29" s="124" t="s">
        <v>70</v>
      </c>
      <c r="B29" s="125">
        <v>1</v>
      </c>
      <c r="C29" s="151" t="s">
        <v>71</v>
      </c>
      <c r="D29" s="152">
        <v>15.57</v>
      </c>
      <c r="E29" s="212"/>
      <c r="F29" s="152">
        <v>15.15</v>
      </c>
      <c r="H29" s="150"/>
    </row>
    <row r="30" spans="1:14" ht="26.25" customHeight="1" x14ac:dyDescent="0.4">
      <c r="A30" s="124" t="s">
        <v>72</v>
      </c>
      <c r="B30" s="125">
        <v>1</v>
      </c>
      <c r="C30" s="153" t="s">
        <v>73</v>
      </c>
      <c r="D30" s="154">
        <f>D29*$B$20</f>
        <v>15.57</v>
      </c>
      <c r="E30" s="231"/>
      <c r="F30" s="154">
        <f>F29*$B$20</f>
        <v>15.15</v>
      </c>
      <c r="H30" s="150"/>
    </row>
    <row r="31" spans="1:14" ht="19.5" customHeight="1" thickBot="1" x14ac:dyDescent="0.35">
      <c r="A31" s="124" t="s">
        <v>74</v>
      </c>
      <c r="B31" s="156">
        <f>(B30/B29)*(B28/B27)*(B26/B25)*(B24/B23)*B22</f>
        <v>1000</v>
      </c>
      <c r="C31" s="153" t="s">
        <v>75</v>
      </c>
      <c r="D31" s="157">
        <f>D30*$B$16/100</f>
        <v>15.418971000000001</v>
      </c>
      <c r="E31" s="208"/>
      <c r="F31" s="157">
        <f>F30*$B$16/100</f>
        <v>15.003045</v>
      </c>
      <c r="H31" s="150"/>
    </row>
    <row r="32" spans="1:14" ht="19.5" customHeight="1" thickBot="1" x14ac:dyDescent="0.35">
      <c r="A32" s="314" t="s">
        <v>76</v>
      </c>
      <c r="B32" s="315"/>
      <c r="C32" s="153" t="s">
        <v>77</v>
      </c>
      <c r="D32" s="159">
        <f>D31/$B$31</f>
        <v>1.5418971E-2</v>
      </c>
      <c r="E32" s="160"/>
      <c r="F32" s="161">
        <f>F31/$B$31</f>
        <v>1.5003045E-2</v>
      </c>
      <c r="H32" s="150"/>
    </row>
    <row r="33" spans="1:12" ht="27" customHeight="1" thickBot="1" x14ac:dyDescent="0.45">
      <c r="A33" s="316"/>
      <c r="B33" s="317"/>
      <c r="C33" s="162" t="s">
        <v>78</v>
      </c>
      <c r="D33" s="163">
        <v>1.4999999999999999E-2</v>
      </c>
      <c r="E33" s="164"/>
      <c r="F33" s="160"/>
      <c r="H33" s="150"/>
    </row>
    <row r="34" spans="1:12" ht="18.75" x14ac:dyDescent="0.3">
      <c r="C34" s="165" t="s">
        <v>79</v>
      </c>
      <c r="D34" s="157">
        <f>D33*$B$31</f>
        <v>15</v>
      </c>
      <c r="F34" s="166"/>
      <c r="H34" s="150"/>
    </row>
    <row r="35" spans="1:12" ht="19.5" customHeight="1" thickBot="1" x14ac:dyDescent="0.35">
      <c r="C35" s="167" t="s">
        <v>80</v>
      </c>
      <c r="D35" s="168">
        <f>D34/B20</f>
        <v>15</v>
      </c>
      <c r="F35" s="166"/>
      <c r="H35" s="150"/>
    </row>
    <row r="36" spans="1:12" ht="18.75" x14ac:dyDescent="0.3">
      <c r="C36" s="122" t="s">
        <v>81</v>
      </c>
      <c r="D36" s="169">
        <f>AVERAGE(E24:E27,G24:G27)</f>
        <v>10222058.272523919</v>
      </c>
      <c r="F36" s="170"/>
      <c r="H36" s="150"/>
    </row>
    <row r="37" spans="1:12" ht="18.75" x14ac:dyDescent="0.3">
      <c r="C37" s="124" t="s">
        <v>82</v>
      </c>
      <c r="D37" s="171">
        <f>STDEV(E24:E27,G24:G27)/D36</f>
        <v>2.1734186200477552E-3</v>
      </c>
      <c r="F37" s="170"/>
      <c r="H37" s="150"/>
    </row>
    <row r="38" spans="1:12" ht="19.5" customHeight="1" thickBot="1" x14ac:dyDescent="0.35">
      <c r="C38" s="172" t="s">
        <v>20</v>
      </c>
      <c r="D38" s="173">
        <f>COUNT(E24:E27,G24:G27)</f>
        <v>6</v>
      </c>
      <c r="F38" s="170"/>
      <c r="G38" s="234">
        <f>15/50*5/100</f>
        <v>1.4999999999999999E-2</v>
      </c>
    </row>
    <row r="39" spans="1:12" x14ac:dyDescent="0.25">
      <c r="G39" s="234">
        <v>120</v>
      </c>
      <c r="H39" s="234">
        <v>378</v>
      </c>
    </row>
    <row r="40" spans="1:12" ht="18.75" x14ac:dyDescent="0.3">
      <c r="A40" s="174" t="s">
        <v>1</v>
      </c>
      <c r="B40" s="175" t="s">
        <v>83</v>
      </c>
    </row>
    <row r="41" spans="1:12" ht="18.75" x14ac:dyDescent="0.3">
      <c r="A41" s="212" t="s">
        <v>84</v>
      </c>
      <c r="B41" s="177" t="str">
        <f>B7</f>
        <v>Fexofenadine Hydrochloride 120 mg</v>
      </c>
    </row>
    <row r="42" spans="1:12" ht="26.25" customHeight="1" x14ac:dyDescent="0.4">
      <c r="A42" s="177" t="s">
        <v>85</v>
      </c>
      <c r="B42" s="178">
        <v>120</v>
      </c>
      <c r="C42" s="212" t="str">
        <f>B6</f>
        <v>Fexofenadine Hydrochloride</v>
      </c>
      <c r="H42" s="231"/>
    </row>
    <row r="43" spans="1:12" ht="18.75" x14ac:dyDescent="0.3">
      <c r="A43" s="177" t="s">
        <v>86</v>
      </c>
      <c r="B43" s="180">
        <f>Uniformity!C38</f>
        <v>378.10300000000001</v>
      </c>
      <c r="H43" s="231"/>
    </row>
    <row r="44" spans="1:12" ht="19.5" customHeight="1" thickBot="1" x14ac:dyDescent="0.35">
      <c r="H44" s="231"/>
    </row>
    <row r="45" spans="1:12" s="16" customFormat="1" ht="27" customHeight="1" thickBot="1" x14ac:dyDescent="0.45">
      <c r="A45" s="122" t="s">
        <v>87</v>
      </c>
      <c r="B45" s="123">
        <v>100</v>
      </c>
      <c r="C45" s="212"/>
      <c r="D45" s="181" t="s">
        <v>88</v>
      </c>
      <c r="E45" s="182" t="s">
        <v>60</v>
      </c>
      <c r="F45" s="182" t="s">
        <v>61</v>
      </c>
      <c r="G45" s="182" t="s">
        <v>89</v>
      </c>
      <c r="H45" s="126" t="s">
        <v>90</v>
      </c>
      <c r="L45" s="112"/>
    </row>
    <row r="46" spans="1:12" s="16" customFormat="1" ht="26.25" customHeight="1" x14ac:dyDescent="0.4">
      <c r="A46" s="124" t="s">
        <v>91</v>
      </c>
      <c r="B46" s="125">
        <v>3</v>
      </c>
      <c r="C46" s="318" t="s">
        <v>92</v>
      </c>
      <c r="D46" s="321">
        <v>190.71</v>
      </c>
      <c r="E46" s="183">
        <v>1</v>
      </c>
      <c r="F46" s="184">
        <v>12916409</v>
      </c>
      <c r="G46" s="185">
        <f>IF(ISBLANK(F46),"-",(F46/$D$36*$D$33*$B$54)*($B$43/$D$46))</f>
        <v>125.25933380735934</v>
      </c>
      <c r="H46" s="186">
        <f>IF(ISBLANK(F46),"-",G46/$B$42)</f>
        <v>1.0438277817279944</v>
      </c>
      <c r="L46" s="112"/>
    </row>
    <row r="47" spans="1:12" s="16" customFormat="1" ht="26.25" customHeight="1" x14ac:dyDescent="0.4">
      <c r="A47" s="124" t="s">
        <v>93</v>
      </c>
      <c r="B47" s="125">
        <v>100</v>
      </c>
      <c r="C47" s="319"/>
      <c r="D47" s="322"/>
      <c r="E47" s="187">
        <v>2</v>
      </c>
      <c r="F47" s="137">
        <v>12932018</v>
      </c>
      <c r="G47" s="188">
        <f>IF(ISBLANK(F47),"-",(F47/$D$36*$D$33*$B$54)*($B$43/$D$46))</f>
        <v>125.4107050546928</v>
      </c>
      <c r="H47" s="189">
        <f t="shared" ref="H47:H57" si="0">IF(ISBLANK(F47),"-",G47/$B$42)</f>
        <v>1.0450892087891066</v>
      </c>
      <c r="L47" s="112"/>
    </row>
    <row r="48" spans="1:12" s="16" customFormat="1" ht="26.25" customHeight="1" x14ac:dyDescent="0.4">
      <c r="A48" s="124" t="s">
        <v>94</v>
      </c>
      <c r="B48" s="125">
        <v>1</v>
      </c>
      <c r="C48" s="319"/>
      <c r="D48" s="322"/>
      <c r="E48" s="187">
        <v>3</v>
      </c>
      <c r="F48" s="190">
        <v>12915136</v>
      </c>
      <c r="G48" s="188">
        <f>IF(ISBLANK(F48),"-",(F48/$D$36*$D$33*$B$54)*($B$43/$D$46))</f>
        <v>125.24698864765304</v>
      </c>
      <c r="H48" s="189">
        <f t="shared" si="0"/>
        <v>1.0437249053971087</v>
      </c>
      <c r="L48" s="112"/>
    </row>
    <row r="49" spans="1:8" ht="27" customHeight="1" thickBot="1" x14ac:dyDescent="0.45">
      <c r="A49" s="124" t="s">
        <v>95</v>
      </c>
      <c r="B49" s="125">
        <v>1</v>
      </c>
      <c r="C49" s="320"/>
      <c r="D49" s="323"/>
      <c r="E49" s="191">
        <v>4</v>
      </c>
      <c r="F49" s="192"/>
      <c r="G49" s="188" t="str">
        <f>IF(ISBLANK(F49),"-",(F49/$D$36*$D$33*$B$54)*($B$43/$D$46))</f>
        <v>-</v>
      </c>
      <c r="H49" s="189" t="str">
        <f t="shared" si="0"/>
        <v>-</v>
      </c>
    </row>
    <row r="50" spans="1:8" ht="26.25" customHeight="1" x14ac:dyDescent="0.4">
      <c r="A50" s="124" t="s">
        <v>96</v>
      </c>
      <c r="B50" s="125">
        <v>1</v>
      </c>
      <c r="C50" s="318" t="s">
        <v>97</v>
      </c>
      <c r="D50" s="321">
        <v>184.49</v>
      </c>
      <c r="E50" s="183">
        <v>1</v>
      </c>
      <c r="F50" s="184">
        <v>12578731</v>
      </c>
      <c r="G50" s="193">
        <f>IF(ISBLANK(F50),"-",(F50/$D$36*$D$33*$B$54)*($B$43/$D$50))</f>
        <v>126.09729606863847</v>
      </c>
      <c r="H50" s="194">
        <f>IF(ISBLANK(F50),"-",G50/$B$42)</f>
        <v>1.0508108005719872</v>
      </c>
    </row>
    <row r="51" spans="1:8" ht="26.25" customHeight="1" x14ac:dyDescent="0.4">
      <c r="A51" s="124" t="s">
        <v>98</v>
      </c>
      <c r="B51" s="125">
        <v>1</v>
      </c>
      <c r="C51" s="319"/>
      <c r="D51" s="322"/>
      <c r="E51" s="187">
        <v>2</v>
      </c>
      <c r="F51" s="137">
        <v>12541794</v>
      </c>
      <c r="G51" s="195">
        <f>IF(ISBLANK(F51),"-",(F51/$D$36*$D$33*$B$54)*($B$43/$D$50))</f>
        <v>125.72701580547938</v>
      </c>
      <c r="H51" s="196">
        <f>IF(ISBLANK(F51),"-",G51/$B$42)</f>
        <v>1.0477251317123282</v>
      </c>
    </row>
    <row r="52" spans="1:8" ht="26.25" customHeight="1" x14ac:dyDescent="0.4">
      <c r="A52" s="124" t="s">
        <v>99</v>
      </c>
      <c r="B52" s="125">
        <v>1</v>
      </c>
      <c r="C52" s="319"/>
      <c r="D52" s="322"/>
      <c r="E52" s="187">
        <v>3</v>
      </c>
      <c r="F52" s="137">
        <v>12544656</v>
      </c>
      <c r="G52" s="195">
        <f>IF(ISBLANK(F52),"-",(F52/$D$36*$D$33*$B$54)*($B$43/$D$50))</f>
        <v>125.75570633565674</v>
      </c>
      <c r="H52" s="196">
        <f t="shared" si="0"/>
        <v>1.0479642194638061</v>
      </c>
    </row>
    <row r="53" spans="1:8" ht="27" customHeight="1" thickBot="1" x14ac:dyDescent="0.45">
      <c r="A53" s="124" t="s">
        <v>100</v>
      </c>
      <c r="B53" s="125">
        <v>1</v>
      </c>
      <c r="C53" s="320"/>
      <c r="D53" s="323"/>
      <c r="E53" s="191">
        <v>4</v>
      </c>
      <c r="F53" s="192"/>
      <c r="G53" s="197" t="str">
        <f>IF(ISBLANK(F53),"-",(F53/$D$36*$D$33*$B$54)*($B$43/$D$50))</f>
        <v>-</v>
      </c>
      <c r="H53" s="198" t="str">
        <f t="shared" si="0"/>
        <v>-</v>
      </c>
    </row>
    <row r="54" spans="1:8" ht="26.25" customHeight="1" x14ac:dyDescent="0.4">
      <c r="A54" s="124" t="s">
        <v>101</v>
      </c>
      <c r="B54" s="199">
        <f>(B53/B52)*(B51/B50)*(B49/B48)*(B47/B46)*B45</f>
        <v>3333.3333333333335</v>
      </c>
      <c r="C54" s="318" t="s">
        <v>102</v>
      </c>
      <c r="D54" s="321">
        <v>185.51</v>
      </c>
      <c r="E54" s="183">
        <v>1</v>
      </c>
      <c r="F54" s="184">
        <v>12658286</v>
      </c>
      <c r="G54" s="193">
        <f>IF(ISBLANK(F54),"-",(F54/$D$36*$D$33*$B$54)*($B$43/$D$54))</f>
        <v>126.19709378916744</v>
      </c>
      <c r="H54" s="189">
        <f>IF(ISBLANK(F54),"-",G54/$B$42)</f>
        <v>1.051642448243062</v>
      </c>
    </row>
    <row r="55" spans="1:8" ht="27" customHeight="1" thickBot="1" x14ac:dyDescent="0.45">
      <c r="A55" s="172" t="s">
        <v>103</v>
      </c>
      <c r="B55" s="200">
        <f>(D33*B54)/B42*B43</f>
        <v>157.54291666666668</v>
      </c>
      <c r="C55" s="319"/>
      <c r="D55" s="322"/>
      <c r="E55" s="187">
        <v>2</v>
      </c>
      <c r="F55" s="137">
        <v>12664133</v>
      </c>
      <c r="G55" s="195">
        <f>IF(ISBLANK(F55),"-",(F55/$D$36*$D$33*$B$54)*($B$43/$D$54))</f>
        <v>126.25538559955828</v>
      </c>
      <c r="H55" s="189">
        <f t="shared" si="0"/>
        <v>1.0521282133296523</v>
      </c>
    </row>
    <row r="56" spans="1:8" ht="26.25" customHeight="1" x14ac:dyDescent="0.4">
      <c r="A56" s="327" t="s">
        <v>76</v>
      </c>
      <c r="B56" s="328"/>
      <c r="C56" s="319"/>
      <c r="D56" s="322"/>
      <c r="E56" s="187">
        <v>3</v>
      </c>
      <c r="F56" s="137">
        <v>12667983</v>
      </c>
      <c r="G56" s="195">
        <f>IF(ISBLANK(F56),"-",(F56/$D$36*$D$33*$B$54)*($B$43/$D$54))</f>
        <v>126.29376826930428</v>
      </c>
      <c r="H56" s="189">
        <f t="shared" si="0"/>
        <v>1.0524480689108691</v>
      </c>
    </row>
    <row r="57" spans="1:8" ht="27" customHeight="1" thickBot="1" x14ac:dyDescent="0.45">
      <c r="A57" s="329"/>
      <c r="B57" s="330"/>
      <c r="C57" s="326"/>
      <c r="D57" s="323"/>
      <c r="E57" s="191">
        <v>4</v>
      </c>
      <c r="F57" s="192"/>
      <c r="G57" s="197" t="str">
        <f>IF(ISBLANK(F57),"-",(F57/$D$36*$D$33*$B$54)*($B$43/$D$54))</f>
        <v>-</v>
      </c>
      <c r="H57" s="201" t="str">
        <f t="shared" si="0"/>
        <v>-</v>
      </c>
    </row>
    <row r="58" spans="1:8" ht="26.25" customHeight="1" x14ac:dyDescent="0.4">
      <c r="A58" s="231"/>
      <c r="B58" s="231"/>
      <c r="C58" s="231"/>
      <c r="D58" s="231"/>
      <c r="E58" s="231"/>
      <c r="F58" s="231"/>
      <c r="G58" s="204" t="s">
        <v>69</v>
      </c>
      <c r="H58" s="205">
        <f>AVERAGE(H46:H57)</f>
        <v>1.0483734197939905</v>
      </c>
    </row>
    <row r="59" spans="1:8" ht="26.25" customHeight="1" x14ac:dyDescent="0.4">
      <c r="C59" s="231"/>
      <c r="D59" s="231"/>
      <c r="E59" s="231"/>
      <c r="F59" s="231"/>
      <c r="G59" s="206" t="s">
        <v>82</v>
      </c>
      <c r="H59" s="207">
        <f>STDEV(H46:H57)/H58</f>
        <v>3.388781317510694E-3</v>
      </c>
    </row>
    <row r="60" spans="1:8" ht="27" customHeight="1" thickBot="1" x14ac:dyDescent="0.45">
      <c r="A60" s="231"/>
      <c r="B60" s="231"/>
      <c r="C60" s="231"/>
      <c r="D60" s="231"/>
      <c r="E60" s="208"/>
      <c r="F60" s="231"/>
      <c r="G60" s="209" t="s">
        <v>20</v>
      </c>
      <c r="H60" s="210">
        <f>COUNT(H46:H57)</f>
        <v>9</v>
      </c>
    </row>
    <row r="62" spans="1:8" ht="26.25" customHeight="1" x14ac:dyDescent="0.4">
      <c r="A62" s="274" t="s">
        <v>104</v>
      </c>
      <c r="B62" s="223" t="s">
        <v>105</v>
      </c>
      <c r="C62" s="331" t="str">
        <f>B6</f>
        <v>Fexofenadine Hydrochloride</v>
      </c>
      <c r="D62" s="331"/>
      <c r="E62" s="212" t="s">
        <v>106</v>
      </c>
      <c r="F62" s="212"/>
      <c r="G62" s="213">
        <f>H58</f>
        <v>1.0483734197939905</v>
      </c>
      <c r="H62" s="281"/>
    </row>
    <row r="63" spans="1:8" ht="18.75" x14ac:dyDescent="0.3">
      <c r="A63" s="107" t="s">
        <v>107</v>
      </c>
      <c r="B63" s="107" t="s">
        <v>108</v>
      </c>
    </row>
    <row r="64" spans="1:8" ht="18.75" x14ac:dyDescent="0.3">
      <c r="A64" s="107"/>
      <c r="B64" s="107"/>
    </row>
    <row r="65" spans="1:12" ht="26.25" customHeight="1" x14ac:dyDescent="0.4">
      <c r="A65" s="274" t="s">
        <v>4</v>
      </c>
      <c r="B65" s="332" t="str">
        <f>B12</f>
        <v>Fexofenadine Hydrochloride</v>
      </c>
      <c r="C65" s="332"/>
    </row>
    <row r="66" spans="1:12" ht="26.25" customHeight="1" x14ac:dyDescent="0.4">
      <c r="A66" s="223" t="s">
        <v>46</v>
      </c>
      <c r="B66" s="332" t="str">
        <f>B13</f>
        <v>BFFH/1410147</v>
      </c>
      <c r="C66" s="332"/>
    </row>
    <row r="67" spans="1:12" ht="27" customHeight="1" thickBot="1" x14ac:dyDescent="0.45">
      <c r="A67" s="223" t="s">
        <v>6</v>
      </c>
      <c r="B67" s="215">
        <f>B14</f>
        <v>99.15</v>
      </c>
    </row>
    <row r="68" spans="1:12" s="16" customFormat="1" ht="27" customHeight="1" thickBot="1" x14ac:dyDescent="0.45">
      <c r="A68" s="223" t="s">
        <v>47</v>
      </c>
      <c r="B68" s="111">
        <v>0</v>
      </c>
      <c r="C68" s="304" t="s">
        <v>48</v>
      </c>
      <c r="D68" s="305"/>
      <c r="E68" s="305"/>
      <c r="F68" s="305"/>
      <c r="G68" s="306"/>
      <c r="I68" s="112"/>
      <c r="J68" s="112"/>
      <c r="K68" s="112"/>
      <c r="L68" s="112"/>
    </row>
    <row r="69" spans="1:12" s="16" customFormat="1" ht="19.5" customHeight="1" thickBot="1" x14ac:dyDescent="0.35">
      <c r="A69" s="223" t="s">
        <v>49</v>
      </c>
      <c r="B69" s="281">
        <f>B67-B68</f>
        <v>99.15</v>
      </c>
      <c r="C69" s="114"/>
      <c r="D69" s="114"/>
      <c r="E69" s="114"/>
      <c r="F69" s="114"/>
      <c r="G69" s="115"/>
      <c r="I69" s="112"/>
      <c r="J69" s="112"/>
      <c r="K69" s="112"/>
      <c r="L69" s="112"/>
    </row>
    <row r="70" spans="1:12" s="16" customFormat="1" ht="27" customHeight="1" thickBot="1" x14ac:dyDescent="0.45">
      <c r="A70" s="223" t="s">
        <v>50</v>
      </c>
      <c r="B70" s="116">
        <v>1</v>
      </c>
      <c r="C70" s="307" t="s">
        <v>109</v>
      </c>
      <c r="D70" s="308"/>
      <c r="E70" s="308"/>
      <c r="F70" s="308"/>
      <c r="G70" s="308"/>
      <c r="H70" s="309"/>
      <c r="I70" s="112"/>
      <c r="J70" s="112"/>
      <c r="K70" s="112"/>
      <c r="L70" s="112"/>
    </row>
    <row r="71" spans="1:12" s="16" customFormat="1" ht="27" customHeight="1" thickBot="1" x14ac:dyDescent="0.45">
      <c r="A71" s="223" t="s">
        <v>52</v>
      </c>
      <c r="B71" s="116">
        <v>1</v>
      </c>
      <c r="C71" s="307" t="s">
        <v>110</v>
      </c>
      <c r="D71" s="308"/>
      <c r="E71" s="308"/>
      <c r="F71" s="308"/>
      <c r="G71" s="308"/>
      <c r="H71" s="309"/>
      <c r="I71" s="112"/>
      <c r="J71" s="112"/>
      <c r="K71" s="112"/>
      <c r="L71" s="112"/>
    </row>
    <row r="72" spans="1:12" s="16" customFormat="1" ht="18.75" x14ac:dyDescent="0.3">
      <c r="A72" s="223"/>
      <c r="B72" s="119"/>
      <c r="C72" s="120"/>
      <c r="D72" s="120"/>
      <c r="E72" s="120"/>
      <c r="F72" s="120"/>
      <c r="G72" s="120"/>
      <c r="H72" s="120"/>
      <c r="I72" s="112"/>
      <c r="J72" s="112"/>
      <c r="K72" s="112"/>
      <c r="L72" s="112"/>
    </row>
    <row r="73" spans="1:12" s="16" customFormat="1" ht="18.75" x14ac:dyDescent="0.3">
      <c r="A73" s="223" t="s">
        <v>54</v>
      </c>
      <c r="B73" s="121">
        <f>B70/B71</f>
        <v>1</v>
      </c>
      <c r="C73" s="212" t="s">
        <v>55</v>
      </c>
      <c r="D73" s="212"/>
      <c r="E73" s="212"/>
      <c r="F73" s="212"/>
      <c r="G73" s="212"/>
      <c r="I73" s="112"/>
      <c r="J73" s="112"/>
      <c r="K73" s="112"/>
      <c r="L73" s="112"/>
    </row>
    <row r="74" spans="1:12" ht="19.5" customHeight="1" thickBot="1" x14ac:dyDescent="0.35">
      <c r="A74" s="107"/>
      <c r="B74" s="107"/>
    </row>
    <row r="75" spans="1:12" ht="27" customHeight="1" thickBot="1" x14ac:dyDescent="0.45">
      <c r="A75" s="122" t="s">
        <v>56</v>
      </c>
      <c r="B75" s="123">
        <v>20</v>
      </c>
      <c r="D75" s="283" t="s">
        <v>57</v>
      </c>
      <c r="E75" s="286"/>
      <c r="F75" s="310" t="s">
        <v>58</v>
      </c>
      <c r="G75" s="312"/>
    </row>
    <row r="76" spans="1:12" ht="27" customHeight="1" thickBot="1" x14ac:dyDescent="0.45">
      <c r="A76" s="124" t="s">
        <v>59</v>
      </c>
      <c r="B76" s="125">
        <v>3</v>
      </c>
      <c r="C76" s="282" t="s">
        <v>60</v>
      </c>
      <c r="D76" s="127" t="s">
        <v>61</v>
      </c>
      <c r="E76" s="128" t="s">
        <v>62</v>
      </c>
      <c r="F76" s="127" t="s">
        <v>61</v>
      </c>
      <c r="G76" s="219" t="s">
        <v>62</v>
      </c>
      <c r="I76" s="130" t="s">
        <v>63</v>
      </c>
    </row>
    <row r="77" spans="1:12" ht="26.25" customHeight="1" x14ac:dyDescent="0.4">
      <c r="A77" s="124" t="s">
        <v>64</v>
      </c>
      <c r="B77" s="125">
        <v>10</v>
      </c>
      <c r="C77" s="220">
        <v>1</v>
      </c>
      <c r="D77" s="132">
        <v>29902386</v>
      </c>
      <c r="E77" s="133">
        <f>IF(ISBLANK(D77),"-",$D$87/$D$84*D77)</f>
        <v>18475371.927174691</v>
      </c>
      <c r="F77" s="132">
        <v>32912902</v>
      </c>
      <c r="G77" s="134">
        <f>IF(ISBLANK(F77),"-",$D$87/$F$84*F77)</f>
        <v>19361364.835278936</v>
      </c>
      <c r="I77" s="135"/>
    </row>
    <row r="78" spans="1:12" ht="26.25" customHeight="1" x14ac:dyDescent="0.4">
      <c r="A78" s="124" t="s">
        <v>65</v>
      </c>
      <c r="B78" s="125">
        <v>1</v>
      </c>
      <c r="C78" s="231">
        <v>2</v>
      </c>
      <c r="D78" s="137">
        <v>30805019</v>
      </c>
      <c r="E78" s="138">
        <f>IF(ISBLANK(D78),"-",$D$87/$D$84*D78)</f>
        <v>19033069.24232344</v>
      </c>
      <c r="F78" s="137">
        <v>32391949</v>
      </c>
      <c r="G78" s="139">
        <f>IF(ISBLANK(F78),"-",$D$87/$F$84*F78)</f>
        <v>19054908.689447947</v>
      </c>
      <c r="I78" s="313">
        <f>ABS((F82/D82*D81)-F81)/D81</f>
        <v>2.2261258154219678E-2</v>
      </c>
    </row>
    <row r="79" spans="1:12" ht="26.25" customHeight="1" x14ac:dyDescent="0.4">
      <c r="A79" s="124" t="s">
        <v>66</v>
      </c>
      <c r="B79" s="125">
        <v>1</v>
      </c>
      <c r="C79" s="231">
        <v>3</v>
      </c>
      <c r="D79" s="137">
        <v>30595436</v>
      </c>
      <c r="E79" s="138">
        <f>IF(ISBLANK(D79),"-",$D$87/$D$84*D79)</f>
        <v>18903577.104986537</v>
      </c>
      <c r="F79" s="137">
        <v>32623964</v>
      </c>
      <c r="G79" s="139">
        <f>IF(ISBLANK(F79),"-",$D$87/$F$84*F79)</f>
        <v>19191393.982123055</v>
      </c>
      <c r="I79" s="313"/>
    </row>
    <row r="80" spans="1:12" ht="27" customHeight="1" thickBot="1" x14ac:dyDescent="0.45">
      <c r="A80" s="124" t="s">
        <v>67</v>
      </c>
      <c r="B80" s="125">
        <v>1</v>
      </c>
      <c r="C80" s="221">
        <v>4</v>
      </c>
      <c r="D80" s="142"/>
      <c r="E80" s="143" t="str">
        <f>IF(ISBLANK(D80),"-",$D$87/$D$84*D80)</f>
        <v>-</v>
      </c>
      <c r="F80" s="222"/>
      <c r="G80" s="144" t="str">
        <f>IF(ISBLANK(F80),"-",$D$87/$F$84*F80)</f>
        <v>-</v>
      </c>
      <c r="I80" s="145"/>
    </row>
    <row r="81" spans="1:10" ht="27" customHeight="1" thickBot="1" x14ac:dyDescent="0.45">
      <c r="A81" s="124" t="s">
        <v>68</v>
      </c>
      <c r="B81" s="125">
        <v>1</v>
      </c>
      <c r="C81" s="223" t="s">
        <v>69</v>
      </c>
      <c r="D81" s="224">
        <f>AVERAGE(D77:D80)</f>
        <v>30434280.333333332</v>
      </c>
      <c r="E81" s="148">
        <f>AVERAGE(E77:E80)</f>
        <v>18804006.091494888</v>
      </c>
      <c r="F81" s="225">
        <f>AVERAGE(F77:F80)</f>
        <v>32642938.333333332</v>
      </c>
      <c r="G81" s="226">
        <f>AVERAGE(G77:G80)</f>
        <v>19202555.835616644</v>
      </c>
    </row>
    <row r="82" spans="1:10" ht="26.25" customHeight="1" x14ac:dyDescent="0.4">
      <c r="A82" s="124" t="s">
        <v>70</v>
      </c>
      <c r="B82" s="215">
        <v>1</v>
      </c>
      <c r="C82" s="227" t="s">
        <v>111</v>
      </c>
      <c r="D82" s="228">
        <v>14.51</v>
      </c>
      <c r="E82" s="212"/>
      <c r="F82" s="152">
        <v>15.24</v>
      </c>
    </row>
    <row r="83" spans="1:10" ht="26.25" customHeight="1" x14ac:dyDescent="0.4">
      <c r="A83" s="124" t="s">
        <v>72</v>
      </c>
      <c r="B83" s="215">
        <v>1</v>
      </c>
      <c r="C83" s="229" t="s">
        <v>112</v>
      </c>
      <c r="D83" s="230">
        <f>D82*$B$73</f>
        <v>14.51</v>
      </c>
      <c r="E83" s="231"/>
      <c r="F83" s="154">
        <f>F82*$B$73</f>
        <v>15.24</v>
      </c>
    </row>
    <row r="84" spans="1:10" ht="19.5" customHeight="1" thickBot="1" x14ac:dyDescent="0.35">
      <c r="A84" s="124" t="s">
        <v>74</v>
      </c>
      <c r="B84" s="231">
        <f>(B83/B82)*(B81/B80)*(B79/B78)*(B77/B76)*B75</f>
        <v>66.666666666666671</v>
      </c>
      <c r="C84" s="229" t="s">
        <v>113</v>
      </c>
      <c r="D84" s="232">
        <f>D83*$B$69/100</f>
        <v>14.386665000000001</v>
      </c>
      <c r="E84" s="208"/>
      <c r="F84" s="157">
        <f>F83*$B$69/100</f>
        <v>15.11046</v>
      </c>
    </row>
    <row r="85" spans="1:10" ht="19.5" customHeight="1" thickBot="1" x14ac:dyDescent="0.35">
      <c r="A85" s="314" t="s">
        <v>76</v>
      </c>
      <c r="B85" s="324"/>
      <c r="C85" s="229" t="s">
        <v>114</v>
      </c>
      <c r="D85" s="233">
        <f>D84/$B$84</f>
        <v>0.215799975</v>
      </c>
      <c r="E85" s="208"/>
      <c r="F85" s="161">
        <f>F84/$B$84</f>
        <v>0.22665689999999999</v>
      </c>
      <c r="H85" s="150"/>
    </row>
    <row r="86" spans="1:10" ht="19.5" customHeight="1" thickBot="1" x14ac:dyDescent="0.35">
      <c r="A86" s="316"/>
      <c r="B86" s="325"/>
      <c r="C86" s="229" t="s">
        <v>78</v>
      </c>
      <c r="D86" s="235">
        <f>$B$42/$B$102</f>
        <v>0.13333333333333333</v>
      </c>
      <c r="F86" s="166"/>
      <c r="G86" s="242"/>
      <c r="H86" s="150"/>
    </row>
    <row r="87" spans="1:10" ht="18.75" x14ac:dyDescent="0.3">
      <c r="C87" s="229" t="s">
        <v>79</v>
      </c>
      <c r="D87" s="230">
        <f>D86*$B$84</f>
        <v>8.8888888888888893</v>
      </c>
      <c r="F87" s="166"/>
      <c r="H87" s="150"/>
    </row>
    <row r="88" spans="1:10" ht="19.5" customHeight="1" thickBot="1" x14ac:dyDescent="0.35">
      <c r="C88" s="237" t="s">
        <v>80</v>
      </c>
      <c r="D88" s="238">
        <f>D87/B20</f>
        <v>8.8888888888888893</v>
      </c>
      <c r="F88" s="170"/>
      <c r="H88" s="150"/>
      <c r="J88" s="239"/>
    </row>
    <row r="89" spans="1:10" ht="18.75" x14ac:dyDescent="0.3">
      <c r="C89" s="240" t="s">
        <v>115</v>
      </c>
      <c r="D89" s="241">
        <f>AVERAGE(E77:E80,G77:G80)</f>
        <v>19003280.963555764</v>
      </c>
      <c r="F89" s="170"/>
      <c r="G89" s="242"/>
      <c r="H89" s="150"/>
      <c r="J89" s="243"/>
    </row>
    <row r="90" spans="1:10" ht="18.75" x14ac:dyDescent="0.3">
      <c r="C90" s="206" t="s">
        <v>82</v>
      </c>
      <c r="D90" s="244">
        <f>STDEV(E77:E80,G77:G80)/D89</f>
        <v>1.5888021707741045E-2</v>
      </c>
      <c r="F90" s="170"/>
      <c r="H90" s="150"/>
      <c r="J90" s="334"/>
    </row>
    <row r="91" spans="1:10" ht="19.5" customHeight="1" thickBot="1" x14ac:dyDescent="0.35">
      <c r="C91" s="209" t="s">
        <v>20</v>
      </c>
      <c r="D91" s="245">
        <f>COUNT(E77:E80,G77:G80)</f>
        <v>6</v>
      </c>
      <c r="F91" s="170"/>
      <c r="H91" s="150"/>
      <c r="J91" s="243"/>
    </row>
    <row r="92" spans="1:10" ht="19.5" customHeight="1" thickBot="1" x14ac:dyDescent="0.35">
      <c r="A92" s="174"/>
      <c r="B92" s="174"/>
      <c r="C92" s="174"/>
      <c r="D92" s="174"/>
      <c r="E92" s="174"/>
    </row>
    <row r="93" spans="1:10" ht="26.25" customHeight="1" x14ac:dyDescent="0.4">
      <c r="A93" s="122" t="s">
        <v>116</v>
      </c>
      <c r="B93" s="123">
        <v>900</v>
      </c>
      <c r="C93" s="283" t="s">
        <v>117</v>
      </c>
      <c r="D93" s="247" t="s">
        <v>61</v>
      </c>
      <c r="E93" s="248" t="s">
        <v>118</v>
      </c>
      <c r="F93" s="249" t="s">
        <v>119</v>
      </c>
    </row>
    <row r="94" spans="1:10" ht="26.25" customHeight="1" x14ac:dyDescent="0.4">
      <c r="A94" s="124" t="s">
        <v>120</v>
      </c>
      <c r="B94" s="125">
        <v>1</v>
      </c>
      <c r="C94" s="250">
        <v>1</v>
      </c>
      <c r="D94" s="251">
        <v>19058893</v>
      </c>
      <c r="E94" s="252">
        <f>IF(ISBLANK(D94),"-",D94/$D$89*$D$86*$B$102)</f>
        <v>120.35117327297881</v>
      </c>
      <c r="F94" s="253">
        <f>IF(ISBLANK(D94), "-", E94/$B$42)</f>
        <v>1.00292644394149</v>
      </c>
    </row>
    <row r="95" spans="1:10" ht="26.25" customHeight="1" x14ac:dyDescent="0.4">
      <c r="A95" s="124" t="s">
        <v>93</v>
      </c>
      <c r="B95" s="125">
        <v>1</v>
      </c>
      <c r="C95" s="250">
        <v>2</v>
      </c>
      <c r="D95" s="251">
        <v>19848743</v>
      </c>
      <c r="E95" s="254">
        <f t="shared" ref="E94:E99" si="1">IF(ISBLANK(D95),"-",D95/$D$89*$D$86*$B$102)</f>
        <v>125.33883830733642</v>
      </c>
      <c r="F95" s="255">
        <f>IF(ISBLANK(D95), "-", E95/$B$42)</f>
        <v>1.0444903192278034</v>
      </c>
    </row>
    <row r="96" spans="1:10" ht="26.25" customHeight="1" x14ac:dyDescent="0.4">
      <c r="A96" s="124" t="s">
        <v>94</v>
      </c>
      <c r="B96" s="125">
        <v>1</v>
      </c>
      <c r="C96" s="250">
        <v>3</v>
      </c>
      <c r="D96" s="251">
        <v>18429649</v>
      </c>
      <c r="E96" s="254">
        <f t="shared" si="1"/>
        <v>116.37768679215424</v>
      </c>
      <c r="F96" s="255">
        <f>IF(ISBLANK(D96), "-", E96/$B$42)</f>
        <v>0.96981405660128528</v>
      </c>
    </row>
    <row r="97" spans="1:10" ht="26.25" customHeight="1" x14ac:dyDescent="0.4">
      <c r="A97" s="124" t="s">
        <v>95</v>
      </c>
      <c r="B97" s="125">
        <v>1</v>
      </c>
      <c r="C97" s="250">
        <v>4</v>
      </c>
      <c r="D97" s="251">
        <v>18569349</v>
      </c>
      <c r="E97" s="254">
        <f t="shared" si="1"/>
        <v>117.25985024762016</v>
      </c>
      <c r="F97" s="255">
        <f>IF(ISBLANK(D97), "-", E97/$B$42)</f>
        <v>0.97716541873016804</v>
      </c>
    </row>
    <row r="98" spans="1:10" ht="26.25" customHeight="1" x14ac:dyDescent="0.4">
      <c r="A98" s="124" t="s">
        <v>96</v>
      </c>
      <c r="B98" s="125">
        <v>1</v>
      </c>
      <c r="C98" s="250">
        <v>5</v>
      </c>
      <c r="D98" s="251">
        <v>18753880</v>
      </c>
      <c r="E98" s="254">
        <f t="shared" si="1"/>
        <v>118.42510797561287</v>
      </c>
      <c r="F98" s="255">
        <f>IF(ISBLANK(D98), "-", E98/$B$42)</f>
        <v>0.98687589979677393</v>
      </c>
    </row>
    <row r="99" spans="1:10" ht="26.25" customHeight="1" x14ac:dyDescent="0.4">
      <c r="A99" s="124" t="s">
        <v>98</v>
      </c>
      <c r="B99" s="125">
        <v>1</v>
      </c>
      <c r="C99" s="256">
        <v>6</v>
      </c>
      <c r="D99" s="257">
        <v>19749289</v>
      </c>
      <c r="E99" s="258">
        <f t="shared" si="1"/>
        <v>124.71081622931271</v>
      </c>
      <c r="F99" s="259">
        <f>IF(ISBLANK(D99), "-", E99/$B$42)</f>
        <v>1.0392568019109392</v>
      </c>
    </row>
    <row r="100" spans="1:10" ht="26.25" customHeight="1" x14ac:dyDescent="0.4">
      <c r="A100" s="124" t="s">
        <v>99</v>
      </c>
      <c r="B100" s="125">
        <v>1</v>
      </c>
      <c r="C100" s="250"/>
      <c r="D100" s="231"/>
      <c r="E100" s="212"/>
      <c r="F100" s="260"/>
    </row>
    <row r="101" spans="1:10" ht="26.25" customHeight="1" x14ac:dyDescent="0.4">
      <c r="A101" s="124" t="s">
        <v>100</v>
      </c>
      <c r="B101" s="125">
        <v>1</v>
      </c>
      <c r="C101" s="250"/>
      <c r="D101" s="261"/>
      <c r="E101" s="262" t="s">
        <v>69</v>
      </c>
      <c r="F101" s="263">
        <f>AVERAGE(F94:F99)</f>
        <v>1.0034214900347433</v>
      </c>
    </row>
    <row r="102" spans="1:10" ht="27" customHeight="1" thickBot="1" x14ac:dyDescent="0.45">
      <c r="A102" s="124" t="s">
        <v>101</v>
      </c>
      <c r="B102" s="156">
        <f>(B101/B100)*(B99/B98)*(B97/B96)*(B95/B94)*B93</f>
        <v>900</v>
      </c>
      <c r="C102" s="264"/>
      <c r="D102" s="265"/>
      <c r="E102" s="223" t="s">
        <v>82</v>
      </c>
      <c r="F102" s="266">
        <f>STDEV(F94:F99)/F101</f>
        <v>3.1714940626674827E-2</v>
      </c>
      <c r="I102" s="212"/>
    </row>
    <row r="103" spans="1:10" ht="27" customHeight="1" thickBot="1" x14ac:dyDescent="0.45">
      <c r="A103" s="314" t="s">
        <v>76</v>
      </c>
      <c r="B103" s="315"/>
      <c r="C103" s="267"/>
      <c r="D103" s="268"/>
      <c r="E103" s="269" t="s">
        <v>20</v>
      </c>
      <c r="F103" s="270">
        <f>COUNT(F94:F99)</f>
        <v>6</v>
      </c>
      <c r="I103" s="212"/>
      <c r="J103" s="243"/>
    </row>
    <row r="104" spans="1:10" ht="19.5" customHeight="1" thickBot="1" x14ac:dyDescent="0.35">
      <c r="A104" s="316"/>
      <c r="B104" s="317"/>
      <c r="C104" s="212"/>
      <c r="D104" s="212"/>
      <c r="E104" s="212"/>
      <c r="F104" s="231"/>
      <c r="G104" s="212"/>
      <c r="H104" s="212"/>
      <c r="I104" s="212"/>
    </row>
    <row r="105" spans="1:10" ht="18.75" x14ac:dyDescent="0.3">
      <c r="A105" s="279"/>
      <c r="B105" s="120"/>
      <c r="C105" s="212"/>
      <c r="D105" s="212"/>
      <c r="E105" s="212"/>
      <c r="F105" s="231"/>
      <c r="G105" s="212"/>
      <c r="H105" s="212"/>
      <c r="I105" s="212"/>
    </row>
    <row r="106" spans="1:10" ht="26.25" customHeight="1" x14ac:dyDescent="0.4">
      <c r="A106" s="274" t="s">
        <v>104</v>
      </c>
      <c r="B106" s="223" t="s">
        <v>121</v>
      </c>
      <c r="C106" s="331" t="str">
        <f>B6</f>
        <v>Fexofenadine Hydrochloride</v>
      </c>
      <c r="D106" s="331"/>
      <c r="E106" s="212" t="s">
        <v>122</v>
      </c>
      <c r="F106" s="212"/>
      <c r="G106" s="213">
        <f>F101</f>
        <v>1.0034214900347433</v>
      </c>
      <c r="H106" s="212"/>
      <c r="I106" s="212"/>
    </row>
    <row r="107" spans="1:10" ht="19.5" customHeight="1" thickBot="1" x14ac:dyDescent="0.35">
      <c r="A107" s="284"/>
      <c r="B107" s="284"/>
      <c r="C107" s="272"/>
      <c r="D107" s="272"/>
      <c r="E107" s="272"/>
      <c r="F107" s="272"/>
      <c r="G107" s="272"/>
      <c r="H107" s="272"/>
    </row>
    <row r="108" spans="1:10" ht="18.75" x14ac:dyDescent="0.3">
      <c r="B108" s="333" t="s">
        <v>26</v>
      </c>
      <c r="C108" s="333"/>
      <c r="E108" s="282" t="s">
        <v>27</v>
      </c>
      <c r="F108" s="273"/>
      <c r="G108" s="333" t="s">
        <v>28</v>
      </c>
      <c r="H108" s="333"/>
    </row>
    <row r="109" spans="1:10" ht="18.75" x14ac:dyDescent="0.3">
      <c r="A109" s="274" t="s">
        <v>29</v>
      </c>
      <c r="B109" s="276"/>
      <c r="C109" s="276"/>
      <c r="E109" s="276"/>
      <c r="F109" s="212"/>
      <c r="G109" s="276"/>
      <c r="H109" s="276"/>
    </row>
    <row r="110" spans="1:10" ht="18.75" x14ac:dyDescent="0.3">
      <c r="A110" s="274" t="s">
        <v>30</v>
      </c>
      <c r="B110" s="277"/>
      <c r="C110" s="277"/>
      <c r="E110" s="277"/>
      <c r="F110" s="212"/>
      <c r="G110" s="278"/>
      <c r="H110" s="278"/>
    </row>
    <row r="111" spans="1:10" ht="18.75" x14ac:dyDescent="0.3">
      <c r="A111" s="231"/>
      <c r="B111" s="231"/>
      <c r="C111" s="231"/>
      <c r="D111" s="231"/>
      <c r="E111" s="231"/>
      <c r="F111" s="208"/>
      <c r="G111" s="231"/>
      <c r="H111" s="231"/>
      <c r="I111" s="212"/>
    </row>
    <row r="112" spans="1:10" ht="18.75" x14ac:dyDescent="0.3">
      <c r="A112" s="231"/>
      <c r="B112" s="231"/>
      <c r="C112" s="231"/>
      <c r="D112" s="231"/>
      <c r="E112" s="231"/>
      <c r="F112" s="208"/>
      <c r="G112" s="231"/>
      <c r="H112" s="231"/>
      <c r="I112" s="212"/>
    </row>
    <row r="113" spans="1:9" ht="18.75" x14ac:dyDescent="0.3">
      <c r="A113" s="231"/>
      <c r="B113" s="231"/>
      <c r="C113" s="231"/>
      <c r="D113" s="231"/>
      <c r="E113" s="231"/>
      <c r="F113" s="208"/>
      <c r="G113" s="231"/>
      <c r="H113" s="231"/>
      <c r="I113" s="212"/>
    </row>
    <row r="114" spans="1:9" ht="18.75" x14ac:dyDescent="0.3">
      <c r="A114" s="231"/>
      <c r="B114" s="231"/>
      <c r="C114" s="231"/>
      <c r="D114" s="231"/>
      <c r="E114" s="231"/>
      <c r="F114" s="208"/>
      <c r="G114" s="231"/>
      <c r="H114" s="231"/>
      <c r="I114" s="212"/>
    </row>
    <row r="115" spans="1:9" ht="18.75" x14ac:dyDescent="0.3">
      <c r="A115" s="231"/>
      <c r="B115" s="231"/>
      <c r="C115" s="231"/>
      <c r="D115" s="231"/>
      <c r="E115" s="231"/>
      <c r="F115" s="208"/>
      <c r="G115" s="231"/>
      <c r="H115" s="231"/>
      <c r="I115" s="212"/>
    </row>
    <row r="116" spans="1:9" ht="18.75" x14ac:dyDescent="0.3">
      <c r="A116" s="231"/>
      <c r="B116" s="231"/>
      <c r="C116" s="231"/>
      <c r="D116" s="231"/>
      <c r="E116" s="231"/>
      <c r="F116" s="208"/>
      <c r="G116" s="231"/>
      <c r="H116" s="231"/>
      <c r="I116" s="212"/>
    </row>
    <row r="117" spans="1:9" ht="18.75" x14ac:dyDescent="0.3">
      <c r="A117" s="231"/>
      <c r="B117" s="231"/>
      <c r="C117" s="231"/>
      <c r="D117" s="231"/>
      <c r="E117" s="231"/>
      <c r="F117" s="208"/>
      <c r="G117" s="231"/>
      <c r="H117" s="231"/>
      <c r="I117" s="212"/>
    </row>
    <row r="118" spans="1:9" ht="18.75" x14ac:dyDescent="0.3">
      <c r="A118" s="231"/>
      <c r="B118" s="231"/>
      <c r="C118" s="231"/>
      <c r="D118" s="231"/>
      <c r="E118" s="231"/>
      <c r="F118" s="208"/>
      <c r="G118" s="231"/>
      <c r="H118" s="231"/>
      <c r="I118" s="212"/>
    </row>
    <row r="119" spans="1:9" ht="18.75" x14ac:dyDescent="0.3">
      <c r="A119" s="231"/>
      <c r="B119" s="231"/>
      <c r="C119" s="231"/>
      <c r="D119" s="231"/>
      <c r="E119" s="231"/>
      <c r="F119" s="208"/>
      <c r="G119" s="231"/>
      <c r="H119" s="231"/>
      <c r="I119" s="212"/>
    </row>
    <row r="236" spans="1:1" x14ac:dyDescent="0.25">
      <c r="A236" s="234">
        <v>5</v>
      </c>
    </row>
  </sheetData>
  <sheetProtection formatCells="0" formatColumns="0" formatRows="0" insertColumns="0" insertRows="0" insertHyperlinks="0" deleteColumns="0" deleteRows="0" sort="0" autoFilter="0" pivotTables="0"/>
  <mergeCells count="34">
    <mergeCell ref="A103:B104"/>
    <mergeCell ref="C106:D106"/>
    <mergeCell ref="B108:C108"/>
    <mergeCell ref="G108:H108"/>
    <mergeCell ref="C68:G68"/>
    <mergeCell ref="C70:H70"/>
    <mergeCell ref="C71:H71"/>
    <mergeCell ref="F75:G75"/>
    <mergeCell ref="I78:I79"/>
    <mergeCell ref="A85:B86"/>
    <mergeCell ref="C54:C57"/>
    <mergeCell ref="D54:D57"/>
    <mergeCell ref="A56:B57"/>
    <mergeCell ref="C62:D62"/>
    <mergeCell ref="B65:C65"/>
    <mergeCell ref="B66:C66"/>
    <mergeCell ref="I25:I26"/>
    <mergeCell ref="A32:B33"/>
    <mergeCell ref="C46:C49"/>
    <mergeCell ref="D46:D49"/>
    <mergeCell ref="C50:C53"/>
    <mergeCell ref="D50:D53"/>
    <mergeCell ref="B13:C13"/>
    <mergeCell ref="C15:G15"/>
    <mergeCell ref="C17:H17"/>
    <mergeCell ref="C18:H18"/>
    <mergeCell ref="D22:E22"/>
    <mergeCell ref="F22:G22"/>
    <mergeCell ref="A2:H2"/>
    <mergeCell ref="A3:H3"/>
    <mergeCell ref="B4:C4"/>
    <mergeCell ref="B6:C6"/>
    <mergeCell ref="B7:H7"/>
    <mergeCell ref="B12:C12"/>
  </mergeCells>
  <conditionalFormatting sqref="E37">
    <cfRule type="cellIs" dxfId="7" priority="1" operator="greaterThan">
      <formula>0.02</formula>
    </cfRule>
  </conditionalFormatting>
  <conditionalFormatting sqref="D37">
    <cfRule type="cellIs" dxfId="6" priority="2" operator="greaterThan">
      <formula>0.02</formula>
    </cfRule>
  </conditionalFormatting>
  <conditionalFormatting sqref="H59">
    <cfRule type="cellIs" dxfId="5" priority="3" operator="greaterThan">
      <formula>0.02</formula>
    </cfRule>
  </conditionalFormatting>
  <conditionalFormatting sqref="D90">
    <cfRule type="cellIs" dxfId="4" priority="4" operator="greaterThan">
      <formula>0.02</formula>
    </cfRule>
  </conditionalFormatting>
  <conditionalFormatting sqref="I25">
    <cfRule type="cellIs" dxfId="3" priority="5" operator="lessThanOrEqual">
      <formula>0.02</formula>
    </cfRule>
  </conditionalFormatting>
  <conditionalFormatting sqref="I25">
    <cfRule type="cellIs" dxfId="2" priority="6" operator="greaterThan">
      <formula>0.02</formula>
    </cfRule>
  </conditionalFormatting>
  <conditionalFormatting sqref="I78">
    <cfRule type="cellIs" dxfId="1" priority="7" operator="lessThanOrEqual">
      <formula>0.02</formula>
    </cfRule>
  </conditionalFormatting>
  <conditionalFormatting sqref="I78">
    <cfRule type="cellIs" dxfId="0" priority="8" operator="greaterThan">
      <formula>0.02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SST</vt:lpstr>
      <vt:lpstr>Uniformity</vt:lpstr>
      <vt:lpstr>Fexofenadine Hydrochloride</vt:lpstr>
      <vt:lpstr>Fexofenadine Hydrochloride (2)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Joy</cp:lastModifiedBy>
  <dcterms:created xsi:type="dcterms:W3CDTF">2005-07-05T10:19:27Z</dcterms:created>
  <dcterms:modified xsi:type="dcterms:W3CDTF">2015-06-30T08:26:52Z</dcterms:modified>
</cp:coreProperties>
</file>