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00" windowWidth="20775" windowHeight="11445"/>
  </bookViews>
  <sheets>
    <sheet name="SST" sheetId="1" r:id="rId1"/>
    <sheet name="Uniformity" sheetId="3" r:id="rId2"/>
    <sheet name="Eplerenone" sheetId="4" r:id="rId3"/>
  </sheets>
  <definedNames>
    <definedName name="_xlnm.Print_Area" localSheetId="2">Eplerenone!$A$1:$L$130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68" i="4" l="1"/>
  <c r="H65" i="4"/>
  <c r="G64" i="4"/>
  <c r="B69" i="4"/>
  <c r="B68" i="4"/>
  <c r="E38" i="4"/>
  <c r="B45" i="4"/>
  <c r="F113" i="4"/>
  <c r="F112" i="4"/>
  <c r="F110" i="4"/>
  <c r="F109" i="4"/>
  <c r="F108" i="4"/>
  <c r="B98" i="4"/>
  <c r="B30" i="4"/>
  <c r="C120" i="4"/>
  <c r="B116" i="4"/>
  <c r="D100" i="4"/>
  <c r="F97" i="4"/>
  <c r="D97" i="4"/>
  <c r="F95" i="4"/>
  <c r="D95" i="4"/>
  <c r="I92" i="4" s="1"/>
  <c r="G94" i="4"/>
  <c r="E94" i="4"/>
  <c r="B87" i="4"/>
  <c r="B81" i="4"/>
  <c r="B83" i="4" s="1"/>
  <c r="B80" i="4"/>
  <c r="B79" i="4"/>
  <c r="C76" i="4"/>
  <c r="H71" i="4"/>
  <c r="G71" i="4"/>
  <c r="H67" i="4"/>
  <c r="G67" i="4"/>
  <c r="H63" i="4"/>
  <c r="G63" i="4"/>
  <c r="C56" i="4"/>
  <c r="B55" i="4"/>
  <c r="D48" i="4"/>
  <c r="D49" i="4" s="1"/>
  <c r="F44" i="4"/>
  <c r="D44" i="4"/>
  <c r="D45" i="4" s="1"/>
  <c r="F42" i="4"/>
  <c r="D42" i="4"/>
  <c r="G41" i="4"/>
  <c r="E41" i="4"/>
  <c r="B34" i="4"/>
  <c r="C46" i="3"/>
  <c r="B57" i="4" s="1"/>
  <c r="C45" i="3"/>
  <c r="C19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G38" i="4" l="1"/>
  <c r="E40" i="4"/>
  <c r="G39" i="4"/>
  <c r="G40" i="4"/>
  <c r="E39" i="4"/>
  <c r="D52" i="4" s="1"/>
  <c r="D98" i="4"/>
  <c r="D99" i="4" s="1"/>
  <c r="D101" i="4"/>
  <c r="I39" i="4"/>
  <c r="D46" i="4"/>
  <c r="F45" i="4"/>
  <c r="F46" i="4" s="1"/>
  <c r="F98" i="4"/>
  <c r="F99" i="4" s="1"/>
  <c r="D33" i="3"/>
  <c r="D25" i="3"/>
  <c r="D29" i="3"/>
  <c r="D37" i="3"/>
  <c r="D41" i="3"/>
  <c r="C50" i="3"/>
  <c r="D26" i="3"/>
  <c r="D30" i="3"/>
  <c r="D34" i="3"/>
  <c r="D38" i="3"/>
  <c r="D42" i="3"/>
  <c r="B49" i="3"/>
  <c r="D50" i="3"/>
  <c r="D31" i="3"/>
  <c r="D43" i="3"/>
  <c r="D27" i="3"/>
  <c r="D35" i="3"/>
  <c r="D39" i="3"/>
  <c r="C49" i="3"/>
  <c r="D24" i="3"/>
  <c r="D28" i="3"/>
  <c r="D32" i="3"/>
  <c r="D36" i="3"/>
  <c r="D40" i="3"/>
  <c r="D49" i="3"/>
  <c r="G42" i="4" l="1"/>
  <c r="D50" i="4"/>
  <c r="G69" i="4" s="1"/>
  <c r="H69" i="4" s="1"/>
  <c r="E42" i="4"/>
  <c r="G61" i="4"/>
  <c r="H61" i="4" s="1"/>
  <c r="G70" i="4"/>
  <c r="H70" i="4" s="1"/>
  <c r="G62" i="4"/>
  <c r="H62" i="4" s="1"/>
  <c r="D102" i="4"/>
  <c r="G93" i="4"/>
  <c r="G91" i="4"/>
  <c r="G95" i="4" s="1"/>
  <c r="E93" i="4"/>
  <c r="E91" i="4"/>
  <c r="G92" i="4"/>
  <c r="E92" i="4"/>
  <c r="G60" i="4" l="1"/>
  <c r="H60" i="4" s="1"/>
  <c r="G66" i="4"/>
  <c r="H66" i="4" s="1"/>
  <c r="H64" i="4"/>
  <c r="G68" i="4"/>
  <c r="D51" i="4"/>
  <c r="G65" i="4"/>
  <c r="D105" i="4"/>
  <c r="D103" i="4"/>
  <c r="E95" i="4"/>
  <c r="H72" i="4" l="1"/>
  <c r="H73" i="4" s="1"/>
  <c r="H74" i="4"/>
  <c r="D104" i="4"/>
  <c r="E111" i="4"/>
  <c r="F111" i="4" s="1"/>
  <c r="E109" i="4"/>
  <c r="E113" i="4"/>
  <c r="E110" i="4"/>
  <c r="E108" i="4"/>
  <c r="E112" i="4"/>
  <c r="G76" i="4" l="1"/>
  <c r="F115" i="4"/>
  <c r="G120" i="4" s="1"/>
  <c r="F117" i="4"/>
  <c r="F116" i="4" l="1"/>
</calcChain>
</file>

<file path=xl/sharedStrings.xml><?xml version="1.0" encoding="utf-8"?>
<sst xmlns="http://schemas.openxmlformats.org/spreadsheetml/2006/main" count="233" uniqueCount="125">
  <si>
    <t>HPLC System Suitability Report</t>
  </si>
  <si>
    <t>Analysis Data</t>
  </si>
  <si>
    <t>Assay</t>
  </si>
  <si>
    <t>Sample(s)</t>
  </si>
  <si>
    <t>Reference Substance:</t>
  </si>
  <si>
    <t xml:space="preserve">EPNONE 25 MG </t>
  </si>
  <si>
    <t>% age Purity:</t>
  </si>
  <si>
    <t>NDQD201504158</t>
  </si>
  <si>
    <t>Weight (mg):</t>
  </si>
  <si>
    <t>EPLERENONE</t>
  </si>
  <si>
    <t>Standard Conc (mg/mL):</t>
  </si>
  <si>
    <t>Each film-coated tablet contains Eplerenone 25 mg</t>
  </si>
  <si>
    <t>2015-04-07 12:19:46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</si>
  <si>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</si>
  <si>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</si>
  <si>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</si>
  <si>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</si>
  <si>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</si>
  <si>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</si>
  <si>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</si>
  <si>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</si>
  <si>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</si>
  <si>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</si>
  <si>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</si>
  <si>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</si>
  <si>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</si>
  <si>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</si>
  <si>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</si>
  <si>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</si>
  <si>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</si>
  <si>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</si>
  <si>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</si>
  <si>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</si>
  <si>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</si>
  <si>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</si>
  <si>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</si>
  <si>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</si>
  <si>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</si>
  <si>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</si>
  <si>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</si>
  <si>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</si>
  <si>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</si>
  <si>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</si>
  <si>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</si>
  <si>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</si>
  <si>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</si>
  <si>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</si>
  <si>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</si>
  <si>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</si>
  <si>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</si>
  <si>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</si>
  <si>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</si>
  <si>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</si>
  <si>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</si>
  <si>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</si>
  <si>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</si>
  <si>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</si>
  <si>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</si>
  <si>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</si>
  <si>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</si>
  <si>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</si>
  <si>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</si>
  <si>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</si>
  <si>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</si>
  <si>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</si>
  <si>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</si>
  <si>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</si>
  <si>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</si>
  <si>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</si>
  <si>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</si>
  <si>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</si>
  <si>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</si>
  <si>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</si>
  <si>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</si>
  <si>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</si>
  <si>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</si>
  <si>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</si>
  <si>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</si>
  <si>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</si>
  <si>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</si>
  <si>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</si>
  <si>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</si>
  <si>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</si>
  <si>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</si>
  <si>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</si>
  <si>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</si>
  <si>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</si>
  <si>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</si>
  <si>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</si>
  <si>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</si>
  <si>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</si>
  <si>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</si>
  <si>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</si>
  <si>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</si>
  <si>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</si>
  <si>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</si>
  <si>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</si>
  <si>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</si>
  <si>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</si>
  <si>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</si>
  <si>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</si>
  <si>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</si>
  <si>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</si>
  <si>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</si>
  <si>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</si>
  <si>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</si>
  <si>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</si>
  <si>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</si>
  <si>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</si>
  <si>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</si>
  <si>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</si>
  <si>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</si>
  <si>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</si>
  <si>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</si>
  <si>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</si>
  <si>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</si>
  <si>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</si>
  <si>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</si>
  <si>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</si>
  <si>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</si>
  <si>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</si>
  <si>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</si>
  <si>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</si>
  <si>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Eplerenone</t>
  </si>
  <si>
    <t>E10 -1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</si>
</sst>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8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0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0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zoomScale="60" zoomScaleNormal="100" workbookViewId="0">
      <selection activeCell="D31" sqref="D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93954619</v>
      </c>
      <c r="C24" s="18">
        <v>7244</v>
      </c>
      <c r="D24" s="19">
        <v>1.2</v>
      </c>
      <c r="E24" s="20">
        <v>6.4</v>
      </c>
    </row>
    <row r="25" spans="1:6" ht="16.5" customHeight="1" x14ac:dyDescent="0.3">
      <c r="A25" s="17">
        <v>2</v>
      </c>
      <c r="B25" s="18">
        <v>94119729</v>
      </c>
      <c r="C25" s="18">
        <v>7317</v>
      </c>
      <c r="D25" s="19">
        <v>1.2</v>
      </c>
      <c r="E25" s="19">
        <v>6.3</v>
      </c>
    </row>
    <row r="26" spans="1:6" ht="16.5" customHeight="1" x14ac:dyDescent="0.3">
      <c r="A26" s="17">
        <v>3</v>
      </c>
      <c r="B26" s="18">
        <v>93669787</v>
      </c>
      <c r="C26" s="18">
        <v>7435</v>
      </c>
      <c r="D26" s="19">
        <v>1.2</v>
      </c>
      <c r="E26" s="19">
        <v>6.3</v>
      </c>
    </row>
    <row r="27" spans="1:6" ht="16.5" customHeight="1" x14ac:dyDescent="0.3">
      <c r="A27" s="17">
        <v>4</v>
      </c>
      <c r="B27" s="18">
        <v>93914418</v>
      </c>
      <c r="C27" s="18">
        <v>7561</v>
      </c>
      <c r="D27" s="19">
        <v>1.2</v>
      </c>
      <c r="E27" s="19">
        <v>6.3</v>
      </c>
    </row>
    <row r="28" spans="1:6" ht="16.5" customHeight="1" x14ac:dyDescent="0.3">
      <c r="A28" s="17">
        <v>5</v>
      </c>
      <c r="B28" s="18">
        <v>94246674</v>
      </c>
      <c r="C28" s="18">
        <v>7626</v>
      </c>
      <c r="D28" s="19">
        <v>1.2</v>
      </c>
      <c r="E28" s="19">
        <v>6.3</v>
      </c>
    </row>
    <row r="29" spans="1:6" ht="16.5" customHeight="1" x14ac:dyDescent="0.3">
      <c r="A29" s="17">
        <v>6</v>
      </c>
      <c r="B29" s="21">
        <v>94353510</v>
      </c>
      <c r="C29" s="21">
        <v>7610</v>
      </c>
      <c r="D29" s="22">
        <v>1.2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94043122.833333328</v>
      </c>
      <c r="C30" s="25">
        <f>AVERAGE(C24:C29)</f>
        <v>7465.5</v>
      </c>
      <c r="D30" s="26">
        <f>AVERAGE(D24:D29)</f>
        <v>1.2</v>
      </c>
      <c r="E30" s="26">
        <f>AVERAGE(E24:E29)</f>
        <v>6.3166666666666664</v>
      </c>
    </row>
    <row r="31" spans="1:6" ht="16.5" customHeight="1" x14ac:dyDescent="0.3">
      <c r="A31" s="27" t="s">
        <v>19</v>
      </c>
      <c r="B31" s="28">
        <f>(STDEV(B24:B29)/B30)</f>
        <v>2.6366562203145576E-3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94.82</v>
      </c>
      <c r="D24" s="87">
        <f t="shared" ref="D24:D43" si="0">(C24-$C$46)/$C$46</f>
        <v>2.0096393837679298E-2</v>
      </c>
      <c r="E24" s="53"/>
    </row>
    <row r="25" spans="1:5" ht="15.75" customHeight="1" x14ac:dyDescent="0.3">
      <c r="C25" s="95">
        <v>92.39</v>
      </c>
      <c r="D25" s="88">
        <f t="shared" si="0"/>
        <v>-6.0461313366041167E-3</v>
      </c>
      <c r="E25" s="53"/>
    </row>
    <row r="26" spans="1:5" ht="15.75" customHeight="1" x14ac:dyDescent="0.3">
      <c r="C26" s="95">
        <v>92.54</v>
      </c>
      <c r="D26" s="88">
        <f t="shared" si="0"/>
        <v>-4.4323952147347044E-3</v>
      </c>
      <c r="E26" s="53"/>
    </row>
    <row r="27" spans="1:5" ht="15.75" customHeight="1" x14ac:dyDescent="0.3">
      <c r="C27" s="95">
        <v>95.95</v>
      </c>
      <c r="D27" s="88">
        <f t="shared" si="0"/>
        <v>3.2253205955761852E-2</v>
      </c>
      <c r="E27" s="53"/>
    </row>
    <row r="28" spans="1:5" ht="15.75" customHeight="1" x14ac:dyDescent="0.3">
      <c r="C28" s="95">
        <v>91.64</v>
      </c>
      <c r="D28" s="88">
        <f t="shared" si="0"/>
        <v>-1.4114811945950875E-2</v>
      </c>
      <c r="E28" s="53"/>
    </row>
    <row r="29" spans="1:5" ht="15.75" customHeight="1" x14ac:dyDescent="0.3">
      <c r="C29" s="95">
        <v>92.99</v>
      </c>
      <c r="D29" s="88">
        <f t="shared" si="0"/>
        <v>4.0881315087322781E-4</v>
      </c>
      <c r="E29" s="53"/>
    </row>
    <row r="30" spans="1:5" ht="15.75" customHeight="1" x14ac:dyDescent="0.3">
      <c r="C30" s="95">
        <v>92.32</v>
      </c>
      <c r="D30" s="88">
        <f t="shared" si="0"/>
        <v>-6.7992081934765605E-3</v>
      </c>
      <c r="E30" s="53"/>
    </row>
    <row r="31" spans="1:5" ht="15.75" customHeight="1" x14ac:dyDescent="0.3">
      <c r="C31" s="95">
        <v>94.77</v>
      </c>
      <c r="D31" s="88">
        <f t="shared" si="0"/>
        <v>1.9558481797056212E-2</v>
      </c>
      <c r="E31" s="53"/>
    </row>
    <row r="32" spans="1:5" ht="15.75" customHeight="1" x14ac:dyDescent="0.3">
      <c r="C32" s="95">
        <v>91.33</v>
      </c>
      <c r="D32" s="88">
        <f t="shared" si="0"/>
        <v>-1.7449866597814227E-2</v>
      </c>
      <c r="E32" s="53"/>
    </row>
    <row r="33" spans="1:7" ht="15.75" customHeight="1" x14ac:dyDescent="0.3">
      <c r="C33" s="95">
        <v>93.6</v>
      </c>
      <c r="D33" s="88">
        <f t="shared" si="0"/>
        <v>6.9713400464752511E-3</v>
      </c>
      <c r="E33" s="53"/>
    </row>
    <row r="34" spans="1:7" ht="15.75" customHeight="1" x14ac:dyDescent="0.3">
      <c r="C34" s="95">
        <v>92.13</v>
      </c>
      <c r="D34" s="88">
        <f t="shared" si="0"/>
        <v>-8.8432739478443816E-3</v>
      </c>
      <c r="E34" s="53"/>
    </row>
    <row r="35" spans="1:7" ht="15.75" customHeight="1" x14ac:dyDescent="0.3">
      <c r="C35" s="95">
        <v>92.15</v>
      </c>
      <c r="D35" s="88">
        <f t="shared" si="0"/>
        <v>-8.6281091315950249E-3</v>
      </c>
      <c r="E35" s="53"/>
    </row>
    <row r="36" spans="1:7" ht="15.75" customHeight="1" x14ac:dyDescent="0.3">
      <c r="C36" s="95">
        <v>94.2</v>
      </c>
      <c r="D36" s="88">
        <f t="shared" si="0"/>
        <v>1.3426284533952748E-2</v>
      </c>
      <c r="E36" s="53"/>
    </row>
    <row r="37" spans="1:7" ht="15.75" customHeight="1" x14ac:dyDescent="0.3">
      <c r="C37" s="95">
        <v>92.68</v>
      </c>
      <c r="D37" s="88">
        <f t="shared" si="0"/>
        <v>-2.92624150098997E-3</v>
      </c>
      <c r="E37" s="53"/>
    </row>
    <row r="38" spans="1:7" ht="15.75" customHeight="1" x14ac:dyDescent="0.3">
      <c r="C38" s="95">
        <v>91.86</v>
      </c>
      <c r="D38" s="88">
        <f t="shared" si="0"/>
        <v>-1.1747998967209171E-2</v>
      </c>
      <c r="E38" s="53"/>
    </row>
    <row r="39" spans="1:7" ht="15.75" customHeight="1" x14ac:dyDescent="0.3">
      <c r="C39" s="95">
        <v>93.42</v>
      </c>
      <c r="D39" s="88">
        <f t="shared" si="0"/>
        <v>5.0348567002321083E-3</v>
      </c>
      <c r="E39" s="53"/>
    </row>
    <row r="40" spans="1:7" ht="15.75" customHeight="1" x14ac:dyDescent="0.3">
      <c r="C40" s="95">
        <v>92.27</v>
      </c>
      <c r="D40" s="88">
        <f t="shared" si="0"/>
        <v>-7.3371202340996467E-3</v>
      </c>
      <c r="E40" s="53"/>
    </row>
    <row r="41" spans="1:7" ht="15.75" customHeight="1" x14ac:dyDescent="0.3">
      <c r="C41" s="95">
        <v>92.12</v>
      </c>
      <c r="D41" s="88">
        <f t="shared" si="0"/>
        <v>-8.9508563559689072E-3</v>
      </c>
      <c r="E41" s="53"/>
    </row>
    <row r="42" spans="1:7" ht="15.75" customHeight="1" x14ac:dyDescent="0.3">
      <c r="C42" s="95">
        <v>92.21</v>
      </c>
      <c r="D42" s="88">
        <f t="shared" si="0"/>
        <v>-7.9826146828474113E-3</v>
      </c>
      <c r="E42" s="53"/>
    </row>
    <row r="43" spans="1:7" ht="16.5" customHeight="1" x14ac:dyDescent="0.3">
      <c r="C43" s="96">
        <v>93.65</v>
      </c>
      <c r="D43" s="89">
        <f t="shared" si="0"/>
        <v>7.50925208709849E-3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1859.0400000000004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92.952000000000027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92.952000000000027</v>
      </c>
      <c r="C49" s="93">
        <f>-IF(C46&lt;=80,10%,IF(C46&lt;250,7.5%,5%))</f>
        <v>-7.4999999999999997E-2</v>
      </c>
      <c r="D49" s="81">
        <f>IF(C46&lt;=80,C46*0.9,IF(C46&lt;250,C46*0.925,C46*0.95))</f>
        <v>85.980600000000024</v>
      </c>
    </row>
    <row r="50" spans="1:6" ht="17.25" customHeight="1" x14ac:dyDescent="0.3">
      <c r="B50" s="284"/>
      <c r="C50" s="94">
        <f>IF(C46&lt;=80, 10%, IF(C46&lt;250, 7.5%, 5%))</f>
        <v>7.4999999999999997E-2</v>
      </c>
      <c r="D50" s="81">
        <f>IF(C46&lt;=80, C46*1.1, IF(C46&lt;250, C46*1.075, C46*1.05))</f>
        <v>99.923400000000029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topLeftCell="B1" zoomScale="60" zoomScaleNormal="55" workbookViewId="0">
      <selection activeCell="H69" sqref="H6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292" t="s">
        <v>31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45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100" t="s">
        <v>33</v>
      </c>
      <c r="B18" s="291" t="s">
        <v>5</v>
      </c>
      <c r="C18" s="291"/>
      <c r="D18" s="28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6" t="s">
        <v>9</v>
      </c>
      <c r="C20" s="29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6" t="s">
        <v>11</v>
      </c>
      <c r="C21" s="296"/>
      <c r="D21" s="296"/>
      <c r="E21" s="296"/>
      <c r="F21" s="296"/>
      <c r="G21" s="296"/>
      <c r="H21" s="296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1" t="s">
        <v>123</v>
      </c>
      <c r="C26" s="291"/>
    </row>
    <row r="27" spans="1:14" ht="26.25" customHeight="1" x14ac:dyDescent="0.4">
      <c r="A27" s="109" t="s">
        <v>46</v>
      </c>
      <c r="B27" s="297" t="s">
        <v>124</v>
      </c>
      <c r="C27" s="297"/>
    </row>
    <row r="28" spans="1:14" ht="27" customHeight="1" x14ac:dyDescent="0.4">
      <c r="A28" s="109" t="s">
        <v>6</v>
      </c>
      <c r="B28" s="110">
        <v>99.7</v>
      </c>
    </row>
    <row r="29" spans="1:14" s="15" customFormat="1" ht="27" customHeight="1" x14ac:dyDescent="0.4">
      <c r="A29" s="109" t="s">
        <v>47</v>
      </c>
      <c r="B29" s="111"/>
      <c r="C29" s="298" t="s">
        <v>48</v>
      </c>
      <c r="D29" s="299"/>
      <c r="E29" s="299"/>
      <c r="F29" s="299"/>
      <c r="G29" s="300"/>
      <c r="I29" s="112"/>
      <c r="J29" s="112"/>
      <c r="K29" s="112"/>
      <c r="L29" s="112"/>
    </row>
    <row r="30" spans="1:14" s="15" customFormat="1" ht="19.5" customHeight="1" x14ac:dyDescent="0.3">
      <c r="A30" s="109" t="s">
        <v>49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5" customFormat="1" ht="27" customHeight="1" x14ac:dyDescent="0.4">
      <c r="A31" s="109" t="s">
        <v>50</v>
      </c>
      <c r="B31" s="116">
        <v>1</v>
      </c>
      <c r="C31" s="301" t="s">
        <v>51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5" customFormat="1" ht="27" customHeight="1" x14ac:dyDescent="0.4">
      <c r="A32" s="109" t="s">
        <v>52</v>
      </c>
      <c r="B32" s="116">
        <v>1</v>
      </c>
      <c r="C32" s="301" t="s">
        <v>53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5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5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5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5" customFormat="1" ht="27" customHeight="1" x14ac:dyDescent="0.4">
      <c r="A36" s="122" t="s">
        <v>56</v>
      </c>
      <c r="B36" s="123">
        <v>25</v>
      </c>
      <c r="C36" s="99"/>
      <c r="D36" s="304" t="s">
        <v>57</v>
      </c>
      <c r="E36" s="305"/>
      <c r="F36" s="304" t="s">
        <v>58</v>
      </c>
      <c r="G36" s="306"/>
      <c r="J36" s="112"/>
      <c r="K36" s="112"/>
      <c r="L36" s="117"/>
      <c r="M36" s="117"/>
      <c r="N36" s="118"/>
    </row>
    <row r="37" spans="1:14" s="15" customFormat="1" ht="27" customHeight="1" x14ac:dyDescent="0.4">
      <c r="A37" s="124" t="s">
        <v>59</v>
      </c>
      <c r="B37" s="125">
        <v>5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5" customFormat="1" ht="26.25" customHeight="1" x14ac:dyDescent="0.4">
      <c r="A38" s="124" t="s">
        <v>64</v>
      </c>
      <c r="B38" s="125">
        <v>25</v>
      </c>
      <c r="C38" s="131">
        <v>1</v>
      </c>
      <c r="D38" s="132">
        <v>94149325</v>
      </c>
      <c r="E38" s="133">
        <f>IF(ISBLANK(D38),"-",$D$48/$D$45*D38)</f>
        <v>97635052.59367846</v>
      </c>
      <c r="F38" s="132">
        <v>99088183</v>
      </c>
      <c r="G38" s="134">
        <f>IF(ISBLANK(F38),"-",$D$48/$F$45*F38)</f>
        <v>96716954.093108431</v>
      </c>
      <c r="I38" s="135"/>
      <c r="J38" s="112"/>
      <c r="K38" s="112"/>
      <c r="L38" s="117"/>
      <c r="M38" s="117"/>
      <c r="N38" s="118"/>
    </row>
    <row r="39" spans="1:14" s="15" customFormat="1" ht="26.25" customHeight="1" x14ac:dyDescent="0.4">
      <c r="A39" s="124" t="s">
        <v>65</v>
      </c>
      <c r="B39" s="125">
        <v>1</v>
      </c>
      <c r="C39" s="136">
        <v>2</v>
      </c>
      <c r="D39" s="137">
        <v>93892986</v>
      </c>
      <c r="E39" s="138">
        <f>IF(ISBLANK(D39),"-",$D$48/$D$45*D39)</f>
        <v>97369223.053776711</v>
      </c>
      <c r="F39" s="137">
        <v>99182506</v>
      </c>
      <c r="G39" s="139">
        <f>IF(ISBLANK(F39),"-",$D$48/$F$45*F39)</f>
        <v>96809019.897372141</v>
      </c>
      <c r="I39" s="307">
        <f>ABS((F43/D43*D42)-F42)/D42</f>
        <v>5.711091594154981E-3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93428248</v>
      </c>
      <c r="E40" s="138">
        <f>IF(ISBLANK(D40),"-",$D$48/$D$45*D40)</f>
        <v>96887278.875501603</v>
      </c>
      <c r="F40" s="137">
        <v>99169725</v>
      </c>
      <c r="G40" s="139">
        <f>IF(ISBLANK(F40),"-",$D$48/$F$45*F40)</f>
        <v>96796544.752982184</v>
      </c>
      <c r="I40" s="307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93823519.666666672</v>
      </c>
      <c r="E42" s="148">
        <f>AVERAGE(E38:E41)</f>
        <v>97297184.840985581</v>
      </c>
      <c r="F42" s="147">
        <f>AVERAGE(F38:F41)</f>
        <v>99146804.666666672</v>
      </c>
      <c r="G42" s="149">
        <f>AVERAGE(G38:G41)</f>
        <v>96774172.914487585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24.18</v>
      </c>
      <c r="E43" s="140"/>
      <c r="F43" s="152">
        <v>25.69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24.18</v>
      </c>
      <c r="E44" s="155"/>
      <c r="F44" s="154">
        <f>F43*$B$34</f>
        <v>25.69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125</v>
      </c>
      <c r="C45" s="153" t="s">
        <v>75</v>
      </c>
      <c r="D45" s="157">
        <f>D44*$B$30/100</f>
        <v>24.10746</v>
      </c>
      <c r="E45" s="158"/>
      <c r="F45" s="157">
        <f>F44*$B$30/100</f>
        <v>25.612930000000002</v>
      </c>
      <c r="H45" s="150"/>
    </row>
    <row r="46" spans="1:14" ht="19.5" customHeight="1" x14ac:dyDescent="0.3">
      <c r="A46" s="308" t="s">
        <v>76</v>
      </c>
      <c r="B46" s="309"/>
      <c r="C46" s="153" t="s">
        <v>77</v>
      </c>
      <c r="D46" s="159">
        <f>D45/$B$45</f>
        <v>0.19285968000000001</v>
      </c>
      <c r="E46" s="160"/>
      <c r="F46" s="161">
        <f>F45/$B$45</f>
        <v>0.20490344000000002</v>
      </c>
      <c r="H46" s="150"/>
    </row>
    <row r="47" spans="1:14" ht="27" customHeight="1" x14ac:dyDescent="0.4">
      <c r="A47" s="310"/>
      <c r="B47" s="311"/>
      <c r="C47" s="162" t="s">
        <v>78</v>
      </c>
      <c r="D47" s="163">
        <v>0.2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25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97035678.877736568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3.8633019187007084E-3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film-coated tablet contains Eplerenone 25 mg</v>
      </c>
    </row>
    <row r="56" spans="1:12" ht="26.25" customHeight="1" x14ac:dyDescent="0.4">
      <c r="A56" s="177" t="s">
        <v>85</v>
      </c>
      <c r="B56" s="178">
        <v>25</v>
      </c>
      <c r="C56" s="99" t="str">
        <f>B20</f>
        <v>EPLERENONE</v>
      </c>
      <c r="H56" s="179"/>
    </row>
    <row r="57" spans="1:12" ht="18.75" x14ac:dyDescent="0.3">
      <c r="A57" s="176" t="s">
        <v>86</v>
      </c>
      <c r="B57" s="180">
        <f>Uniformity!C46</f>
        <v>92.952000000000027</v>
      </c>
      <c r="H57" s="179"/>
    </row>
    <row r="58" spans="1:12" ht="19.5" customHeight="1" x14ac:dyDescent="0.3">
      <c r="H58" s="179"/>
    </row>
    <row r="59" spans="1:12" s="15" customFormat="1" ht="27" customHeight="1" x14ac:dyDescent="0.4">
      <c r="A59" s="122" t="s">
        <v>87</v>
      </c>
      <c r="B59" s="123">
        <v>50</v>
      </c>
      <c r="C59" s="99"/>
      <c r="D59" s="181" t="s">
        <v>88</v>
      </c>
      <c r="E59" s="182" t="s">
        <v>60</v>
      </c>
      <c r="F59" s="182" t="s">
        <v>61</v>
      </c>
      <c r="G59" s="182" t="s">
        <v>89</v>
      </c>
      <c r="H59" s="126" t="s">
        <v>90</v>
      </c>
      <c r="L59" s="112"/>
    </row>
    <row r="60" spans="1:12" s="15" customFormat="1" ht="26.25" customHeight="1" x14ac:dyDescent="0.4">
      <c r="A60" s="124" t="s">
        <v>91</v>
      </c>
      <c r="B60" s="125">
        <v>10</v>
      </c>
      <c r="C60" s="312" t="s">
        <v>92</v>
      </c>
      <c r="D60" s="315">
        <v>93.43</v>
      </c>
      <c r="E60" s="183">
        <v>1</v>
      </c>
      <c r="F60" s="184">
        <v>98751796</v>
      </c>
      <c r="G60" s="185">
        <f>IF(ISBLANK(F60),"-",(F60/$D$50*$D$47*$B$68)*($B$57/$D$60))</f>
        <v>25.311970333379886</v>
      </c>
      <c r="H60" s="186">
        <f t="shared" ref="H60:H71" si="0">IF(ISBLANK(F60),"-",G60/$B$56)</f>
        <v>1.0124788133351954</v>
      </c>
      <c r="L60" s="112"/>
    </row>
    <row r="61" spans="1:12" s="15" customFormat="1" ht="26.25" customHeight="1" x14ac:dyDescent="0.4">
      <c r="A61" s="124" t="s">
        <v>93</v>
      </c>
      <c r="B61" s="125">
        <v>25</v>
      </c>
      <c r="C61" s="313"/>
      <c r="D61" s="316"/>
      <c r="E61" s="187">
        <v>2</v>
      </c>
      <c r="F61" s="137">
        <v>98563459</v>
      </c>
      <c r="G61" s="188">
        <f>IF(ISBLANK(F61),"-",(F61/$D$50*$D$47*$B$68)*($B$57/$D$60))</f>
        <v>25.263695965218744</v>
      </c>
      <c r="H61" s="189">
        <f t="shared" si="0"/>
        <v>1.0105478386087499</v>
      </c>
      <c r="L61" s="112"/>
    </row>
    <row r="62" spans="1:12" s="15" customFormat="1" ht="26.25" customHeight="1" x14ac:dyDescent="0.4">
      <c r="A62" s="124" t="s">
        <v>94</v>
      </c>
      <c r="B62" s="125">
        <v>1</v>
      </c>
      <c r="C62" s="313"/>
      <c r="D62" s="316"/>
      <c r="E62" s="187">
        <v>3</v>
      </c>
      <c r="F62" s="190">
        <v>99646123</v>
      </c>
      <c r="G62" s="188">
        <f>IF(ISBLANK(F62),"-",(F62/$D$50*$D$47*$B$68)*($B$57/$D$60))</f>
        <v>25.541203414794843</v>
      </c>
      <c r="H62" s="189">
        <f t="shared" si="0"/>
        <v>1.0216481365917938</v>
      </c>
      <c r="L62" s="112"/>
    </row>
    <row r="63" spans="1:12" ht="27" customHeight="1" x14ac:dyDescent="0.4">
      <c r="A63" s="124" t="s">
        <v>95</v>
      </c>
      <c r="B63" s="125">
        <v>1</v>
      </c>
      <c r="C63" s="314"/>
      <c r="D63" s="317"/>
      <c r="E63" s="191">
        <v>4</v>
      </c>
      <c r="F63" s="192"/>
      <c r="G63" s="188" t="str">
        <f>IF(ISBLANK(F63),"-",(F63/$D$50*$D$47*$B$68)*($B$57/$D$60))</f>
        <v>-</v>
      </c>
      <c r="H63" s="189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2" t="s">
        <v>97</v>
      </c>
      <c r="D64" s="315">
        <v>91.42</v>
      </c>
      <c r="E64" s="183">
        <v>1</v>
      </c>
      <c r="F64" s="184">
        <v>96058596</v>
      </c>
      <c r="G64" s="193">
        <f>IF(ISBLANK(F64),"-",(F64/$D$50*$D$47*$B$68)*($B$57/$D$64))</f>
        <v>25.162994140725289</v>
      </c>
      <c r="H64" s="194">
        <f t="shared" si="0"/>
        <v>1.0065197656290115</v>
      </c>
    </row>
    <row r="65" spans="1:8" ht="26.25" customHeight="1" x14ac:dyDescent="0.4">
      <c r="A65" s="124" t="s">
        <v>98</v>
      </c>
      <c r="B65" s="125">
        <v>1</v>
      </c>
      <c r="C65" s="313"/>
      <c r="D65" s="316"/>
      <c r="E65" s="187">
        <v>2</v>
      </c>
      <c r="F65" s="137">
        <v>95262811</v>
      </c>
      <c r="G65" s="195">
        <f>IF(ISBLANK(F65),"-",(F65/$D$50*$D$47*$B$68)*($B$57/$D$64))</f>
        <v>24.954534574105377</v>
      </c>
      <c r="H65" s="196">
        <f>IF(ISBLANK(F65),"-",G65/$B$56)</f>
        <v>0.9981813829642151</v>
      </c>
    </row>
    <row r="66" spans="1:8" ht="26.25" customHeight="1" x14ac:dyDescent="0.4">
      <c r="A66" s="124" t="s">
        <v>99</v>
      </c>
      <c r="B66" s="125">
        <v>1</v>
      </c>
      <c r="C66" s="313"/>
      <c r="D66" s="316"/>
      <c r="E66" s="187">
        <v>3</v>
      </c>
      <c r="F66" s="137">
        <v>95260935</v>
      </c>
      <c r="G66" s="195">
        <f>IF(ISBLANK(F66),"-",(F66/$D$50*$D$47*$B$68)*($B$57/$D$64))</f>
        <v>24.954043147216233</v>
      </c>
      <c r="H66" s="196">
        <f t="shared" si="0"/>
        <v>0.99816172588864926</v>
      </c>
    </row>
    <row r="67" spans="1:8" ht="27" customHeight="1" x14ac:dyDescent="0.4">
      <c r="A67" s="124" t="s">
        <v>100</v>
      </c>
      <c r="B67" s="125">
        <v>1</v>
      </c>
      <c r="C67" s="314"/>
      <c r="D67" s="317"/>
      <c r="E67" s="191">
        <v>4</v>
      </c>
      <c r="F67" s="192"/>
      <c r="G67" s="197" t="str">
        <f>IF(ISBLANK(F67),"-",(F67/$D$50*$D$47*$B$68)*($B$57/$D$64))</f>
        <v>-</v>
      </c>
      <c r="H67" s="198" t="str">
        <f t="shared" si="0"/>
        <v>-</v>
      </c>
    </row>
    <row r="68" spans="1:8" ht="26.25" customHeight="1" x14ac:dyDescent="0.4">
      <c r="A68" s="124" t="s">
        <v>101</v>
      </c>
      <c r="B68" s="199">
        <f>(B67/B66)*(B65/B64)*(B63/B62)*(B61/B60)*B59</f>
        <v>125</v>
      </c>
      <c r="C68" s="312" t="s">
        <v>102</v>
      </c>
      <c r="D68" s="315">
        <v>94.96</v>
      </c>
      <c r="E68" s="183">
        <v>1</v>
      </c>
      <c r="F68" s="184">
        <v>99883045</v>
      </c>
      <c r="G68" s="193">
        <f>IF(ISBLANK(F68),"-",(F68/$D$50*$D$47*$B$68)*($B$57/$D$68))</f>
        <v>25.189431525015493</v>
      </c>
      <c r="H68" s="189">
        <f>IF(ISBLANK(F68),"-",G68/$B$56)</f>
        <v>1.0075772610006197</v>
      </c>
    </row>
    <row r="69" spans="1:8" ht="27" customHeight="1" x14ac:dyDescent="0.4">
      <c r="A69" s="172" t="s">
        <v>103</v>
      </c>
      <c r="B69" s="200">
        <f>(D47*B68)/B56*B57</f>
        <v>92.952000000000027</v>
      </c>
      <c r="C69" s="313"/>
      <c r="D69" s="316"/>
      <c r="E69" s="187">
        <v>2</v>
      </c>
      <c r="F69" s="137">
        <v>100277146</v>
      </c>
      <c r="G69" s="195">
        <f>IF(ISBLANK(F69),"-",(F69/$D$50*$D$47*$B$68)*($B$57/$D$68))</f>
        <v>25.288819565833034</v>
      </c>
      <c r="H69" s="189">
        <f t="shared" si="0"/>
        <v>1.0115527826333213</v>
      </c>
    </row>
    <row r="70" spans="1:8" ht="26.25" customHeight="1" x14ac:dyDescent="0.4">
      <c r="A70" s="321" t="s">
        <v>76</v>
      </c>
      <c r="B70" s="322"/>
      <c r="C70" s="313"/>
      <c r="D70" s="316"/>
      <c r="E70" s="187">
        <v>3</v>
      </c>
      <c r="F70" s="137">
        <v>100728086</v>
      </c>
      <c r="G70" s="195">
        <f>IF(ISBLANK(F70),"-",(F70/$D$50*$D$47*$B$68)*($B$57/$D$68))</f>
        <v>25.402541792181765</v>
      </c>
      <c r="H70" s="189">
        <f t="shared" si="0"/>
        <v>1.0161016716872706</v>
      </c>
    </row>
    <row r="71" spans="1:8" ht="27" customHeight="1" x14ac:dyDescent="0.4">
      <c r="A71" s="323"/>
      <c r="B71" s="324"/>
      <c r="C71" s="320"/>
      <c r="D71" s="317"/>
      <c r="E71" s="191">
        <v>4</v>
      </c>
      <c r="F71" s="192"/>
      <c r="G71" s="197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69</v>
      </c>
      <c r="H72" s="205">
        <f>AVERAGE(H60:H71)</f>
        <v>1.0091965975932029</v>
      </c>
    </row>
    <row r="73" spans="1:8" ht="26.25" customHeight="1" x14ac:dyDescent="0.4">
      <c r="C73" s="202"/>
      <c r="D73" s="202"/>
      <c r="E73" s="202"/>
      <c r="F73" s="203"/>
      <c r="G73" s="206" t="s">
        <v>82</v>
      </c>
      <c r="H73" s="207">
        <f>STDEV(H60:H71)/H72</f>
        <v>7.6253446509468373E-3</v>
      </c>
    </row>
    <row r="74" spans="1:8" ht="27" customHeight="1" x14ac:dyDescent="0.4">
      <c r="A74" s="202"/>
      <c r="B74" s="202"/>
      <c r="C74" s="203"/>
      <c r="D74" s="203"/>
      <c r="E74" s="208"/>
      <c r="F74" s="203"/>
      <c r="G74" s="209" t="s">
        <v>20</v>
      </c>
      <c r="H74" s="210">
        <f>COUNT(H60:H71)</f>
        <v>9</v>
      </c>
    </row>
    <row r="76" spans="1:8" ht="26.25" customHeight="1" x14ac:dyDescent="0.4">
      <c r="A76" s="108" t="s">
        <v>104</v>
      </c>
      <c r="B76" s="211" t="s">
        <v>105</v>
      </c>
      <c r="C76" s="325" t="str">
        <f>B20</f>
        <v>EPLERENONE</v>
      </c>
      <c r="D76" s="325"/>
      <c r="E76" s="212" t="s">
        <v>106</v>
      </c>
      <c r="F76" s="212"/>
      <c r="G76" s="213">
        <f>H72</f>
        <v>1.0091965975932029</v>
      </c>
      <c r="H76" s="214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6" t="str">
        <f>B26</f>
        <v>Eplerenone</v>
      </c>
      <c r="C79" s="326"/>
    </row>
    <row r="80" spans="1:8" ht="26.25" customHeight="1" x14ac:dyDescent="0.4">
      <c r="A80" s="109" t="s">
        <v>46</v>
      </c>
      <c r="B80" s="326" t="str">
        <f>B27</f>
        <v>E10 -1</v>
      </c>
      <c r="C80" s="326"/>
    </row>
    <row r="81" spans="1:12" ht="27" customHeight="1" x14ac:dyDescent="0.4">
      <c r="A81" s="109" t="s">
        <v>6</v>
      </c>
      <c r="B81" s="215">
        <f>B28</f>
        <v>99.7</v>
      </c>
    </row>
    <row r="82" spans="1:12" s="15" customFormat="1" ht="27" customHeight="1" x14ac:dyDescent="0.4">
      <c r="A82" s="109" t="s">
        <v>47</v>
      </c>
      <c r="B82" s="111">
        <v>0</v>
      </c>
      <c r="C82" s="298" t="s">
        <v>48</v>
      </c>
      <c r="D82" s="299"/>
      <c r="E82" s="299"/>
      <c r="F82" s="299"/>
      <c r="G82" s="300"/>
      <c r="I82" s="112"/>
      <c r="J82" s="112"/>
      <c r="K82" s="112"/>
      <c r="L82" s="112"/>
    </row>
    <row r="83" spans="1:12" s="15" customFormat="1" ht="19.5" customHeight="1" x14ac:dyDescent="0.3">
      <c r="A83" s="109" t="s">
        <v>49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5" customFormat="1" ht="27" customHeight="1" x14ac:dyDescent="0.4">
      <c r="A84" s="109" t="s">
        <v>50</v>
      </c>
      <c r="B84" s="116">
        <v>1</v>
      </c>
      <c r="C84" s="301" t="s">
        <v>109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5" customFormat="1" ht="27" customHeight="1" x14ac:dyDescent="0.4">
      <c r="A85" s="109" t="s">
        <v>52</v>
      </c>
      <c r="B85" s="116">
        <v>1</v>
      </c>
      <c r="C85" s="301" t="s">
        <v>110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5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5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50</v>
      </c>
      <c r="D89" s="216" t="s">
        <v>57</v>
      </c>
      <c r="E89" s="217"/>
      <c r="F89" s="304" t="s">
        <v>58</v>
      </c>
      <c r="G89" s="306"/>
    </row>
    <row r="90" spans="1:12" ht="27" customHeight="1" x14ac:dyDescent="0.4">
      <c r="A90" s="124" t="s">
        <v>59</v>
      </c>
      <c r="B90" s="125">
        <v>5</v>
      </c>
      <c r="C90" s="218" t="s">
        <v>60</v>
      </c>
      <c r="D90" s="127" t="s">
        <v>61</v>
      </c>
      <c r="E90" s="128" t="s">
        <v>62</v>
      </c>
      <c r="F90" s="127" t="s">
        <v>61</v>
      </c>
      <c r="G90" s="219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100</v>
      </c>
      <c r="C91" s="220">
        <v>1</v>
      </c>
      <c r="D91" s="132">
        <v>19866187</v>
      </c>
      <c r="E91" s="133">
        <f>IF(ISBLANK(D91),"-",$D$101/$D$98*D91)</f>
        <v>19799249.696625646</v>
      </c>
      <c r="F91" s="132">
        <v>20192838</v>
      </c>
      <c r="G91" s="134">
        <f>IF(ISBLANK(F91),"-",$D$101/$F$98*F91)</f>
        <v>19572476.610349018</v>
      </c>
      <c r="I91" s="135"/>
    </row>
    <row r="92" spans="1:12" ht="26.25" customHeight="1" x14ac:dyDescent="0.4">
      <c r="A92" s="124" t="s">
        <v>65</v>
      </c>
      <c r="B92" s="125">
        <v>1</v>
      </c>
      <c r="C92" s="203">
        <v>2</v>
      </c>
      <c r="D92" s="137">
        <v>19688901</v>
      </c>
      <c r="E92" s="138">
        <f>IF(ISBLANK(D92),"-",$D$101/$D$98*D92)</f>
        <v>19622561.045616977</v>
      </c>
      <c r="F92" s="137">
        <v>20168315</v>
      </c>
      <c r="G92" s="139">
        <f>IF(ISBLANK(F92),"-",$D$101/$F$98*F92)</f>
        <v>19548707.002336733</v>
      </c>
      <c r="I92" s="307">
        <f>ABS((F96/D96*D95)-F95)/D95</f>
        <v>1.3663585415064027E-2</v>
      </c>
    </row>
    <row r="93" spans="1:12" ht="26.25" customHeight="1" x14ac:dyDescent="0.4">
      <c r="A93" s="124" t="s">
        <v>66</v>
      </c>
      <c r="B93" s="125">
        <v>1</v>
      </c>
      <c r="C93" s="203">
        <v>3</v>
      </c>
      <c r="D93" s="137">
        <v>19988625</v>
      </c>
      <c r="E93" s="138">
        <f>IF(ISBLANK(D93),"-",$D$101/$D$98*D93)</f>
        <v>19921275.15296286</v>
      </c>
      <c r="F93" s="137">
        <v>20049267</v>
      </c>
      <c r="G93" s="139">
        <f>IF(ISBLANK(F93),"-",$D$101/$F$98*F93)</f>
        <v>19433316.377427604</v>
      </c>
      <c r="I93" s="307"/>
    </row>
    <row r="94" spans="1:12" ht="27" customHeight="1" x14ac:dyDescent="0.4">
      <c r="A94" s="124" t="s">
        <v>67</v>
      </c>
      <c r="B94" s="125">
        <v>1</v>
      </c>
      <c r="C94" s="221">
        <v>4</v>
      </c>
      <c r="D94" s="142"/>
      <c r="E94" s="143" t="str">
        <f>IF(ISBLANK(D94),"-",$D$101/$D$98*D94)</f>
        <v>-</v>
      </c>
      <c r="F94" s="222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23" t="s">
        <v>69</v>
      </c>
      <c r="D95" s="224">
        <f>AVERAGE(D91:D94)</f>
        <v>19847904.333333332</v>
      </c>
      <c r="E95" s="148">
        <f>AVERAGE(E91:E94)</f>
        <v>19781028.631735161</v>
      </c>
      <c r="F95" s="225">
        <f>AVERAGE(F91:F94)</f>
        <v>20136806.666666668</v>
      </c>
      <c r="G95" s="226">
        <f>AVERAGE(G91:G94)</f>
        <v>19518166.66337112</v>
      </c>
    </row>
    <row r="96" spans="1:12" ht="26.25" customHeight="1" x14ac:dyDescent="0.4">
      <c r="A96" s="124" t="s">
        <v>70</v>
      </c>
      <c r="B96" s="110">
        <v>1</v>
      </c>
      <c r="C96" s="227" t="s">
        <v>111</v>
      </c>
      <c r="D96" s="228">
        <v>25.16</v>
      </c>
      <c r="E96" s="140"/>
      <c r="F96" s="152">
        <v>25.87</v>
      </c>
    </row>
    <row r="97" spans="1:10" ht="26.25" customHeight="1" x14ac:dyDescent="0.4">
      <c r="A97" s="124" t="s">
        <v>72</v>
      </c>
      <c r="B97" s="110">
        <v>1</v>
      </c>
      <c r="C97" s="229" t="s">
        <v>112</v>
      </c>
      <c r="D97" s="230">
        <f>D96*$B$87</f>
        <v>25.16</v>
      </c>
      <c r="E97" s="155"/>
      <c r="F97" s="154">
        <f>F96*$B$87</f>
        <v>25.87</v>
      </c>
    </row>
    <row r="98" spans="1:10" ht="19.5" customHeight="1" x14ac:dyDescent="0.3">
      <c r="A98" s="124" t="s">
        <v>74</v>
      </c>
      <c r="B98" s="231">
        <f>(B97/B96)*(B95/B94)*(B93/B92)*(B91/B90)*B89</f>
        <v>1000</v>
      </c>
      <c r="C98" s="229" t="s">
        <v>113</v>
      </c>
      <c r="D98" s="232">
        <f>D97*$B$83/100</f>
        <v>25.084520000000001</v>
      </c>
      <c r="E98" s="158"/>
      <c r="F98" s="157">
        <f>F97*$B$83/100</f>
        <v>25.792390000000001</v>
      </c>
    </row>
    <row r="99" spans="1:10" ht="19.5" customHeight="1" x14ac:dyDescent="0.3">
      <c r="A99" s="308" t="s">
        <v>76</v>
      </c>
      <c r="B99" s="318"/>
      <c r="C99" s="229" t="s">
        <v>114</v>
      </c>
      <c r="D99" s="233">
        <f>D98/$B$98</f>
        <v>2.5084520000000003E-2</v>
      </c>
      <c r="E99" s="158"/>
      <c r="F99" s="161">
        <f>F98/$B$98</f>
        <v>2.5792390000000002E-2</v>
      </c>
      <c r="G99" s="234"/>
      <c r="H99" s="150"/>
    </row>
    <row r="100" spans="1:10" ht="19.5" customHeight="1" x14ac:dyDescent="0.3">
      <c r="A100" s="310"/>
      <c r="B100" s="319"/>
      <c r="C100" s="229" t="s">
        <v>78</v>
      </c>
      <c r="D100" s="235">
        <f>$B$56/$B$116</f>
        <v>2.5000000000000001E-2</v>
      </c>
      <c r="F100" s="166"/>
      <c r="G100" s="236"/>
      <c r="H100" s="150"/>
    </row>
    <row r="101" spans="1:10" ht="18.75" x14ac:dyDescent="0.3">
      <c r="C101" s="229" t="s">
        <v>79</v>
      </c>
      <c r="D101" s="230">
        <f>D100*$B$98</f>
        <v>25</v>
      </c>
      <c r="F101" s="166"/>
      <c r="G101" s="234"/>
      <c r="H101" s="150"/>
    </row>
    <row r="102" spans="1:10" ht="19.5" customHeight="1" x14ac:dyDescent="0.3">
      <c r="C102" s="237" t="s">
        <v>80</v>
      </c>
      <c r="D102" s="238">
        <f>D101/B34</f>
        <v>25</v>
      </c>
      <c r="F102" s="170"/>
      <c r="G102" s="234"/>
      <c r="H102" s="150"/>
      <c r="J102" s="239"/>
    </row>
    <row r="103" spans="1:10" ht="18.75" x14ac:dyDescent="0.3">
      <c r="C103" s="240" t="s">
        <v>115</v>
      </c>
      <c r="D103" s="241">
        <f>AVERAGE(E91:E94,G91:G94)</f>
        <v>19649597.647553142</v>
      </c>
      <c r="F103" s="170"/>
      <c r="G103" s="242"/>
      <c r="H103" s="150"/>
      <c r="J103" s="243"/>
    </row>
    <row r="104" spans="1:10" ht="18.75" x14ac:dyDescent="0.3">
      <c r="C104" s="206" t="s">
        <v>82</v>
      </c>
      <c r="D104" s="244">
        <f>STDEV(E91:E94,G91:G94)/D103</f>
        <v>9.0992050763333224E-3</v>
      </c>
      <c r="F104" s="170"/>
      <c r="G104" s="234"/>
      <c r="H104" s="150"/>
      <c r="J104" s="243"/>
    </row>
    <row r="105" spans="1:10" ht="19.5" customHeight="1" x14ac:dyDescent="0.3">
      <c r="C105" s="209" t="s">
        <v>20</v>
      </c>
      <c r="D105" s="245">
        <f>COUNT(E91:E94,G91:G94)</f>
        <v>6</v>
      </c>
      <c r="F105" s="170"/>
      <c r="G105" s="234"/>
      <c r="H105" s="150"/>
      <c r="J105" s="24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1000</v>
      </c>
      <c r="C107" s="246" t="s">
        <v>117</v>
      </c>
      <c r="D107" s="247" t="s">
        <v>61</v>
      </c>
      <c r="E107" s="248" t="s">
        <v>118</v>
      </c>
      <c r="F107" s="249" t="s">
        <v>119</v>
      </c>
    </row>
    <row r="108" spans="1:10" ht="26.25" customHeight="1" x14ac:dyDescent="0.4">
      <c r="A108" s="124" t="s">
        <v>120</v>
      </c>
      <c r="B108" s="125">
        <v>1</v>
      </c>
      <c r="C108" s="250">
        <v>1</v>
      </c>
      <c r="D108" s="251">
        <v>18911350</v>
      </c>
      <c r="E108" s="252">
        <f t="shared" ref="E108:E113" si="1">IF(ISBLANK(D108),"-",D108/$D$103*$D$100*$B$116)</f>
        <v>24.060734396710316</v>
      </c>
      <c r="F108" s="253">
        <f>IF(ISBLANK(D108), "-", E108/$B$56)</f>
        <v>0.9624293758684126</v>
      </c>
    </row>
    <row r="109" spans="1:10" ht="26.25" customHeight="1" x14ac:dyDescent="0.4">
      <c r="A109" s="124" t="s">
        <v>93</v>
      </c>
      <c r="B109" s="125">
        <v>1</v>
      </c>
      <c r="C109" s="250">
        <v>2</v>
      </c>
      <c r="D109" s="251">
        <v>19103562</v>
      </c>
      <c r="E109" s="254">
        <f t="shared" si="1"/>
        <v>24.305283933356854</v>
      </c>
      <c r="F109" s="255">
        <f>IF(ISBLANK(D109), "-", E109/$B$56)</f>
        <v>0.97221135733427422</v>
      </c>
    </row>
    <row r="110" spans="1:10" ht="26.25" customHeight="1" x14ac:dyDescent="0.4">
      <c r="A110" s="124" t="s">
        <v>94</v>
      </c>
      <c r="B110" s="125">
        <v>1</v>
      </c>
      <c r="C110" s="250">
        <v>3</v>
      </c>
      <c r="D110" s="251">
        <v>19388749</v>
      </c>
      <c r="E110" s="254">
        <f t="shared" si="1"/>
        <v>24.668124696200049</v>
      </c>
      <c r="F110" s="255">
        <f>IF(ISBLANK(D110), "-", E110/$B$56)</f>
        <v>0.986724987848002</v>
      </c>
    </row>
    <row r="111" spans="1:10" ht="26.25" customHeight="1" x14ac:dyDescent="0.4">
      <c r="A111" s="124" t="s">
        <v>95</v>
      </c>
      <c r="B111" s="125">
        <v>1</v>
      </c>
      <c r="C111" s="250">
        <v>4</v>
      </c>
      <c r="D111" s="251">
        <v>19301412</v>
      </c>
      <c r="E111" s="254">
        <f t="shared" si="1"/>
        <v>24.557006644870796</v>
      </c>
      <c r="F111" s="255">
        <f t="shared" ref="F108:F113" si="2">IF(ISBLANK(D111), "-", E111/$B$56)</f>
        <v>0.98228026579483185</v>
      </c>
    </row>
    <row r="112" spans="1:10" ht="26.25" customHeight="1" x14ac:dyDescent="0.4">
      <c r="A112" s="124" t="s">
        <v>96</v>
      </c>
      <c r="B112" s="125">
        <v>1</v>
      </c>
      <c r="C112" s="250">
        <v>5</v>
      </c>
      <c r="D112" s="251">
        <v>19495230</v>
      </c>
      <c r="E112" s="254">
        <f t="shared" si="1"/>
        <v>24.803599480353274</v>
      </c>
      <c r="F112" s="255">
        <f>IF(ISBLANK(D112), "-", E112/$B$56)</f>
        <v>0.992143979214131</v>
      </c>
    </row>
    <row r="113" spans="1:10" ht="26.25" customHeight="1" x14ac:dyDescent="0.4">
      <c r="A113" s="124" t="s">
        <v>98</v>
      </c>
      <c r="B113" s="125">
        <v>1</v>
      </c>
      <c r="C113" s="256">
        <v>6</v>
      </c>
      <c r="D113" s="257">
        <v>17027879</v>
      </c>
      <c r="E113" s="258">
        <f t="shared" si="1"/>
        <v>21.664411792829242</v>
      </c>
      <c r="F113" s="259">
        <f>IF(ISBLANK(D113), "-", E113/$B$56)</f>
        <v>0.86657647171316965</v>
      </c>
    </row>
    <row r="114" spans="1:10" ht="26.25" customHeight="1" x14ac:dyDescent="0.4">
      <c r="A114" s="124" t="s">
        <v>99</v>
      </c>
      <c r="B114" s="125">
        <v>1</v>
      </c>
      <c r="C114" s="250"/>
      <c r="D114" s="203"/>
      <c r="E114" s="98"/>
      <c r="F114" s="260"/>
    </row>
    <row r="115" spans="1:10" ht="26.25" customHeight="1" x14ac:dyDescent="0.4">
      <c r="A115" s="124" t="s">
        <v>100</v>
      </c>
      <c r="B115" s="125">
        <v>1</v>
      </c>
      <c r="C115" s="250"/>
      <c r="D115" s="261"/>
      <c r="E115" s="262" t="s">
        <v>69</v>
      </c>
      <c r="F115" s="263">
        <f>AVERAGE(F108:F113)</f>
        <v>0.96039440629547013</v>
      </c>
    </row>
    <row r="116" spans="1:10" ht="27" customHeight="1" x14ac:dyDescent="0.4">
      <c r="A116" s="124" t="s">
        <v>101</v>
      </c>
      <c r="B116" s="156">
        <f>(B115/B114)*(B113/B112)*(B111/B110)*(B109/B108)*B107</f>
        <v>1000</v>
      </c>
      <c r="C116" s="264"/>
      <c r="D116" s="265"/>
      <c r="E116" s="223" t="s">
        <v>82</v>
      </c>
      <c r="F116" s="266">
        <f>STDEV(F108:F113)/F115</f>
        <v>4.9117153139490707E-2</v>
      </c>
      <c r="I116" s="98"/>
    </row>
    <row r="117" spans="1:10" ht="27" customHeight="1" x14ac:dyDescent="0.4">
      <c r="A117" s="308" t="s">
        <v>76</v>
      </c>
      <c r="B117" s="309"/>
      <c r="C117" s="267"/>
      <c r="D117" s="268"/>
      <c r="E117" s="269" t="s">
        <v>20</v>
      </c>
      <c r="F117" s="270">
        <f>COUNT(F108:F113)</f>
        <v>6</v>
      </c>
      <c r="I117" s="98"/>
      <c r="J117" s="243"/>
    </row>
    <row r="118" spans="1:10" ht="19.5" customHeight="1" x14ac:dyDescent="0.3">
      <c r="A118" s="310"/>
      <c r="B118" s="311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9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104</v>
      </c>
      <c r="B120" s="211" t="s">
        <v>121</v>
      </c>
      <c r="C120" s="325" t="str">
        <f>B20</f>
        <v>EPLERENONE</v>
      </c>
      <c r="D120" s="325"/>
      <c r="E120" s="212" t="s">
        <v>122</v>
      </c>
      <c r="F120" s="212"/>
      <c r="G120" s="213">
        <f>F115</f>
        <v>0.96039440629547013</v>
      </c>
      <c r="H120" s="98"/>
      <c r="I120" s="98"/>
    </row>
    <row r="121" spans="1:10" ht="19.5" customHeight="1" x14ac:dyDescent="0.3">
      <c r="A121" s="271"/>
      <c r="B121" s="271"/>
      <c r="C121" s="272"/>
      <c r="D121" s="272"/>
      <c r="E121" s="272"/>
      <c r="F121" s="272"/>
      <c r="G121" s="272"/>
      <c r="H121" s="272"/>
    </row>
    <row r="122" spans="1:10" ht="18.75" x14ac:dyDescent="0.3">
      <c r="B122" s="327" t="s">
        <v>26</v>
      </c>
      <c r="C122" s="327"/>
      <c r="E122" s="218" t="s">
        <v>27</v>
      </c>
      <c r="F122" s="273"/>
      <c r="G122" s="327" t="s">
        <v>28</v>
      </c>
      <c r="H122" s="327"/>
    </row>
    <row r="123" spans="1:10" ht="18.75" x14ac:dyDescent="0.3">
      <c r="A123" s="274" t="s">
        <v>29</v>
      </c>
      <c r="B123" s="275"/>
      <c r="C123" s="275"/>
      <c r="E123" s="275"/>
      <c r="F123" s="98"/>
      <c r="G123" s="276"/>
      <c r="H123" s="276"/>
    </row>
    <row r="124" spans="1:10" ht="18.75" x14ac:dyDescent="0.3">
      <c r="A124" s="274" t="s">
        <v>30</v>
      </c>
      <c r="B124" s="277"/>
      <c r="C124" s="277"/>
      <c r="E124" s="277"/>
      <c r="F124" s="98"/>
      <c r="G124" s="278"/>
      <c r="H124" s="278"/>
    </row>
    <row r="125" spans="1:10" ht="18.75" x14ac:dyDescent="0.3">
      <c r="A125" s="202"/>
      <c r="B125" s="202"/>
      <c r="C125" s="203"/>
      <c r="D125" s="203"/>
      <c r="E125" s="203"/>
      <c r="F125" s="208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8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8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8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8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8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8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8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8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2" orientation="portrait" r:id="rId1"/>
  <rowBreaks count="1" manualBreakCount="1">
    <brk id="149" max="11" man="1"/>
  </rowBreaks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Eplerenone</vt:lpstr>
      <vt:lpstr>Eplerenone!Print_Area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Lab</cp:lastModifiedBy>
  <cp:lastPrinted>2015-06-19T11:03:43Z</cp:lastPrinted>
  <dcterms:created xsi:type="dcterms:W3CDTF">2005-07-05T10:19:27Z</dcterms:created>
  <dcterms:modified xsi:type="dcterms:W3CDTF">2015-06-19T11:14:10Z</dcterms:modified>
</cp:coreProperties>
</file>