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Etoricixib" sheetId="3" r:id="rId3"/>
  </sheets>
  <definedNames>
    <definedName name="_xlnm.Print_Area" localSheetId="2">Etoricixib!$A$1:$H$126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98" i="3"/>
  <c r="B87" i="3"/>
  <c r="B69" i="3"/>
  <c r="B68" i="3"/>
  <c r="B45" i="3"/>
  <c r="B34" i="3"/>
  <c r="C120" i="3"/>
  <c r="B116" i="3"/>
  <c r="D100" i="3"/>
  <c r="F95" i="3"/>
  <c r="D95" i="3"/>
  <c r="F97" i="3"/>
  <c r="B81" i="3"/>
  <c r="B83" i="3" s="1"/>
  <c r="B80" i="3"/>
  <c r="B79" i="3"/>
  <c r="C76" i="3"/>
  <c r="C56" i="3"/>
  <c r="B55" i="3"/>
  <c r="D48" i="3"/>
  <c r="F42" i="3"/>
  <c r="D42" i="3"/>
  <c r="I39" i="3" s="1"/>
  <c r="F44" i="3"/>
  <c r="B30" i="3"/>
  <c r="D45" i="3" s="1"/>
  <c r="E38" i="3" s="1"/>
  <c r="C46" i="2"/>
  <c r="B57" i="3" s="1"/>
  <c r="C45" i="2"/>
  <c r="D41" i="2"/>
  <c r="D37" i="2"/>
  <c r="D33" i="2"/>
  <c r="D29" i="2"/>
  <c r="D2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I92" i="3"/>
  <c r="D101" i="3"/>
  <c r="D102" i="3" s="1"/>
  <c r="D97" i="3"/>
  <c r="D44" i="3"/>
  <c r="D46" i="3"/>
  <c r="G41" i="3"/>
  <c r="F98" i="3"/>
  <c r="D98" i="3"/>
  <c r="D30" i="2"/>
  <c r="G38" i="3"/>
  <c r="D26" i="2"/>
  <c r="D38" i="2"/>
  <c r="D42" i="2"/>
  <c r="D50" i="2"/>
  <c r="E40" i="3"/>
  <c r="D49" i="3"/>
  <c r="D31" i="2"/>
  <c r="C49" i="2"/>
  <c r="C50" i="2"/>
  <c r="D34" i="2"/>
  <c r="B49" i="2"/>
  <c r="D27" i="2"/>
  <c r="D35" i="2"/>
  <c r="D39" i="2"/>
  <c r="D43" i="2"/>
  <c r="G40" i="3"/>
  <c r="D24" i="2"/>
  <c r="D28" i="2"/>
  <c r="D32" i="2"/>
  <c r="D36" i="2"/>
  <c r="D40" i="2"/>
  <c r="D49" i="2"/>
  <c r="D99" i="3" l="1"/>
  <c r="E91" i="3"/>
  <c r="F46" i="3"/>
  <c r="G39" i="3"/>
  <c r="F99" i="3"/>
  <c r="G91" i="3"/>
  <c r="G94" i="3"/>
  <c r="G93" i="3"/>
  <c r="G42" i="3"/>
  <c r="E39" i="3"/>
  <c r="E42" i="3" s="1"/>
  <c r="E41" i="3"/>
  <c r="D52" i="3" s="1"/>
  <c r="E93" i="3"/>
  <c r="G92" i="3"/>
  <c r="E92" i="3"/>
  <c r="E94" i="3"/>
  <c r="G95" i="3" l="1"/>
  <c r="D50" i="3"/>
  <c r="D103" i="3"/>
  <c r="E95" i="3"/>
  <c r="D105" i="3"/>
  <c r="E108" i="3" l="1"/>
  <c r="E109" i="3"/>
  <c r="G68" i="3"/>
  <c r="H68" i="3" s="1"/>
  <c r="G64" i="3"/>
  <c r="G63" i="3"/>
  <c r="H63" i="3" s="1"/>
  <c r="G60" i="3"/>
  <c r="H60" i="3" s="1"/>
  <c r="H64" i="3"/>
  <c r="G71" i="3"/>
  <c r="H71" i="3" s="1"/>
  <c r="G65" i="3"/>
  <c r="H65" i="3" s="1"/>
  <c r="G61" i="3"/>
  <c r="H61" i="3" s="1"/>
  <c r="G66" i="3"/>
  <c r="H66" i="3" s="1"/>
  <c r="G62" i="3"/>
  <c r="H62" i="3" s="1"/>
  <c r="D51" i="3"/>
  <c r="G69" i="3"/>
  <c r="H69" i="3" s="1"/>
  <c r="G67" i="3"/>
  <c r="H67" i="3" s="1"/>
  <c r="G70" i="3"/>
  <c r="H70" i="3" s="1"/>
  <c r="E112" i="3"/>
  <c r="F112" i="3" s="1"/>
  <c r="F108" i="3"/>
  <c r="E110" i="3"/>
  <c r="F110" i="3" s="1"/>
  <c r="E113" i="3"/>
  <c r="F113" i="3" s="1"/>
  <c r="E111" i="3"/>
  <c r="F111" i="3" s="1"/>
  <c r="F109" i="3"/>
  <c r="D104" i="3"/>
  <c r="H72" i="3" l="1"/>
  <c r="G76" i="3" s="1"/>
  <c r="H73" i="3"/>
  <c r="H74" i="3"/>
  <c r="F115" i="3"/>
  <c r="F117" i="3"/>
  <c r="G120" i="3" l="1"/>
  <c r="F116" i="3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<sst xmlns="http://schemas.openxmlformats.org/spreadsheetml/2006/main" count="234" uniqueCount="128">
  <si>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</si>
  <si>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</si>
  <si>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</si>
  <si>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</si>
  <si>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</si>
  <si>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Etorimir-90 Tablets</t>
  </si>
  <si>
    <t>% age Purity:</t>
  </si>
  <si>
    <t>NDQD201504168</t>
  </si>
  <si>
    <t>Weight (mg):</t>
  </si>
  <si>
    <t>Etoricoxib</t>
  </si>
  <si>
    <t>Standard Conc (mg/mL):</t>
  </si>
  <si>
    <t>Etoricoxib 90mg</t>
  </si>
  <si>
    <t>2015-04-13 11:04:28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</si>
  <si>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</si>
  <si>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</si>
  <si>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</si>
  <si>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</si>
  <si>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</si>
  <si>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</si>
  <si>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</si>
  <si>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</si>
  <si>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</si>
  <si>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</si>
  <si>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</si>
  <si>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</si>
  <si>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</si>
  <si>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</si>
  <si>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</si>
  <si>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</si>
  <si>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</si>
  <si>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</si>
  <si>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</si>
  <si>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</si>
  <si>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</si>
  <si>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</si>
  <si>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</si>
  <si>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</si>
  <si>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</si>
  <si>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</si>
  <si>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</si>
  <si>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</si>
  <si>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</si>
  <si>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</si>
  <si>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</si>
  <si>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</si>
  <si>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</si>
  <si>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</si>
  <si>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</si>
  <si>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</si>
  <si>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</si>
  <si>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</si>
  <si>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</si>
  <si>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</si>
  <si>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</si>
  <si>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</si>
  <si>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</si>
  <si>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</si>
  <si>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</si>
  <si>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</si>
  <si>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</si>
  <si>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</si>
  <si>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</si>
  <si>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</si>
  <si>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</si>
  <si>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</si>
  <si>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</si>
  <si>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</si>
  <si>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</si>
  <si>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</si>
  <si>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</si>
  <si>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</si>
  <si>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</si>
  <si>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</si>
  <si>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</si>
  <si>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</si>
  <si>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</si>
  <si>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</si>
  <si>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</si>
  <si>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</si>
  <si>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</si>
  <si>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</si>
  <si>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</si>
  <si>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</si>
  <si>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</si>
  <si>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</si>
  <si>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</si>
  <si>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</si>
  <si>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</si>
  <si>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</si>
  <si>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</si>
  <si>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</si>
  <si>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</si>
  <si>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</si>
  <si>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</si>
  <si>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</si>
  <si>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</si>
  <si>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</si>
  <si>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</si>
  <si>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</si>
  <si>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</si>
  <si>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</si>
  <si>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</si>
  <si>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</si>
  <si>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</si>
  <si>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</si>
  <si>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</si>
  <si>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</si>
  <si>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</si>
  <si>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</si>
  <si>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</si>
  <si>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</si>
  <si>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</si>
  <si>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</si>
  <si>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</si>
  <si>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</si>
  <si>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</si>
  <si>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</si>
  <si>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</si>
  <si>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</si>
  <si>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</si>
  <si>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</si>
  <si>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</si>
  <si>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</si>
  <si>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</si>
  <si>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</si>
  <si>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</t>
  </si>
  <si>
    <t>Beatrice</t>
  </si>
  <si>
    <t>14th July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</si>
</sst>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F55" sqref="F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5.042E-2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70362228</v>
      </c>
      <c r="C24" s="18">
        <v>8052.5</v>
      </c>
      <c r="D24" s="19">
        <v>1.3</v>
      </c>
      <c r="E24" s="20">
        <v>5.5</v>
      </c>
    </row>
    <row r="25" spans="1:6" ht="16.5" customHeight="1" x14ac:dyDescent="0.3">
      <c r="A25" s="17">
        <v>2</v>
      </c>
      <c r="B25" s="18">
        <v>70507774</v>
      </c>
      <c r="C25" s="18">
        <v>8050</v>
      </c>
      <c r="D25" s="19">
        <v>1.3</v>
      </c>
      <c r="E25" s="19">
        <v>5.5</v>
      </c>
    </row>
    <row r="26" spans="1:6" ht="16.5" customHeight="1" x14ac:dyDescent="0.3">
      <c r="A26" s="17">
        <v>3</v>
      </c>
      <c r="B26" s="18">
        <v>70505349</v>
      </c>
      <c r="C26" s="18">
        <v>8079.7</v>
      </c>
      <c r="D26" s="19">
        <v>1.3</v>
      </c>
      <c r="E26" s="19">
        <v>5.5</v>
      </c>
    </row>
    <row r="27" spans="1:6" ht="16.5" customHeight="1" x14ac:dyDescent="0.3">
      <c r="A27" s="17">
        <v>4</v>
      </c>
      <c r="B27" s="18">
        <v>70349986</v>
      </c>
      <c r="C27" s="18">
        <v>8083.7</v>
      </c>
      <c r="D27" s="19">
        <v>1.4</v>
      </c>
      <c r="E27" s="19">
        <v>5.5</v>
      </c>
    </row>
    <row r="28" spans="1:6" ht="16.5" customHeight="1" x14ac:dyDescent="0.3">
      <c r="A28" s="17">
        <v>5</v>
      </c>
      <c r="B28" s="18">
        <v>70505709</v>
      </c>
      <c r="C28" s="18">
        <v>8074.8</v>
      </c>
      <c r="D28" s="19">
        <v>1.3</v>
      </c>
      <c r="E28" s="19">
        <v>5.5</v>
      </c>
    </row>
    <row r="29" spans="1:6" ht="16.5" customHeight="1" x14ac:dyDescent="0.3">
      <c r="A29" s="17">
        <v>6</v>
      </c>
      <c r="B29" s="21">
        <v>70419440</v>
      </c>
      <c r="C29" s="21">
        <v>8049.1</v>
      </c>
      <c r="D29" s="22">
        <v>1.3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70441747.666666672</v>
      </c>
      <c r="C30" s="25">
        <f>AVERAGE(C24:C29)</f>
        <v>8064.9666666666672</v>
      </c>
      <c r="D30" s="26">
        <f>AVERAGE(D24:D29)</f>
        <v>1.3166666666666667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1.057337441292624E-3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>
        <v>42198.461435185185</v>
      </c>
    </row>
    <row r="19" spans="1:5" ht="16.5" customHeight="1" x14ac:dyDescent="0.3">
      <c r="A19" s="289" t="s">
        <v>38</v>
      </c>
      <c r="B19" s="289"/>
      <c r="C19" s="97"/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201.52</v>
      </c>
      <c r="D24" s="87">
        <f t="shared" ref="D24:D43" si="0">(C24-$C$46)/$C$46</f>
        <v>-5.2717831263450138E-3</v>
      </c>
      <c r="E24" s="53"/>
    </row>
    <row r="25" spans="1:5" ht="15.75" customHeight="1" x14ac:dyDescent="0.3">
      <c r="C25" s="95">
        <v>205.21</v>
      </c>
      <c r="D25" s="88">
        <f t="shared" si="0"/>
        <v>1.2942523742768644E-2</v>
      </c>
      <c r="E25" s="53"/>
    </row>
    <row r="26" spans="1:5" ht="15.75" customHeight="1" x14ac:dyDescent="0.3">
      <c r="C26" s="95">
        <v>202.08</v>
      </c>
      <c r="D26" s="88">
        <f t="shared" si="0"/>
        <v>-2.5075522735797844E-3</v>
      </c>
      <c r="E26" s="53"/>
    </row>
    <row r="27" spans="1:5" ht="15.75" customHeight="1" x14ac:dyDescent="0.3">
      <c r="C27" s="95">
        <v>205.21</v>
      </c>
      <c r="D27" s="88">
        <f t="shared" si="0"/>
        <v>1.2942523742768644E-2</v>
      </c>
      <c r="E27" s="53"/>
    </row>
    <row r="28" spans="1:5" ht="15.75" customHeight="1" x14ac:dyDescent="0.3">
      <c r="C28" s="95">
        <v>208.22</v>
      </c>
      <c r="D28" s="88">
        <f t="shared" si="0"/>
        <v>2.7800264576381649E-2</v>
      </c>
      <c r="E28" s="53"/>
    </row>
    <row r="29" spans="1:5" ht="15.75" customHeight="1" x14ac:dyDescent="0.3">
      <c r="C29" s="95">
        <v>206.85</v>
      </c>
      <c r="D29" s="88">
        <f t="shared" si="0"/>
        <v>2.1037771240152429E-2</v>
      </c>
      <c r="E29" s="53"/>
    </row>
    <row r="30" spans="1:5" ht="15.75" customHeight="1" x14ac:dyDescent="0.3">
      <c r="C30" s="95">
        <v>188.16</v>
      </c>
      <c r="D30" s="88">
        <f t="shared" si="0"/>
        <v>-7.1218433470886716E-2</v>
      </c>
      <c r="E30" s="53"/>
    </row>
    <row r="31" spans="1:5" ht="15.75" customHeight="1" x14ac:dyDescent="0.3">
      <c r="C31" s="95">
        <v>203.81</v>
      </c>
      <c r="D31" s="88">
        <f t="shared" si="0"/>
        <v>6.0319466108555708E-3</v>
      </c>
      <c r="E31" s="53"/>
    </row>
    <row r="32" spans="1:5" ht="15.75" customHeight="1" x14ac:dyDescent="0.3">
      <c r="C32" s="95">
        <v>204.38</v>
      </c>
      <c r="D32" s="88">
        <f t="shared" si="0"/>
        <v>8.8455387288487054E-3</v>
      </c>
      <c r="E32" s="53"/>
    </row>
    <row r="33" spans="1:7" ht="15.75" customHeight="1" x14ac:dyDescent="0.3">
      <c r="C33" s="95">
        <v>207.58</v>
      </c>
      <c r="D33" s="88">
        <f t="shared" si="0"/>
        <v>2.4641143601792894E-2</v>
      </c>
      <c r="E33" s="53"/>
    </row>
    <row r="34" spans="1:7" ht="15.75" customHeight="1" x14ac:dyDescent="0.3">
      <c r="C34" s="95">
        <v>205.54</v>
      </c>
      <c r="D34" s="88">
        <f t="shared" si="0"/>
        <v>1.4571445495290927E-2</v>
      </c>
      <c r="E34" s="53"/>
    </row>
    <row r="35" spans="1:7" ht="15.75" customHeight="1" x14ac:dyDescent="0.3">
      <c r="C35" s="95">
        <v>204.74</v>
      </c>
      <c r="D35" s="88">
        <f t="shared" si="0"/>
        <v>1.0622544277054984E-2</v>
      </c>
      <c r="E35" s="53"/>
    </row>
    <row r="36" spans="1:7" ht="15.75" customHeight="1" x14ac:dyDescent="0.3">
      <c r="C36" s="95">
        <v>206.7</v>
      </c>
      <c r="D36" s="88">
        <f t="shared" si="0"/>
        <v>2.0297352261733147E-2</v>
      </c>
      <c r="E36" s="53"/>
    </row>
    <row r="37" spans="1:7" ht="15.75" customHeight="1" x14ac:dyDescent="0.3">
      <c r="C37" s="95">
        <v>204.85</v>
      </c>
      <c r="D37" s="88">
        <f t="shared" si="0"/>
        <v>1.1165518194562365E-2</v>
      </c>
      <c r="E37" s="53"/>
    </row>
    <row r="38" spans="1:7" ht="15.75" customHeight="1" x14ac:dyDescent="0.3">
      <c r="C38" s="95">
        <v>191.67</v>
      </c>
      <c r="D38" s="88">
        <f t="shared" si="0"/>
        <v>-5.3892629375876196E-2</v>
      </c>
      <c r="E38" s="53"/>
    </row>
    <row r="39" spans="1:7" ht="15.75" customHeight="1" x14ac:dyDescent="0.3">
      <c r="C39" s="95">
        <v>204.66</v>
      </c>
      <c r="D39" s="88">
        <f t="shared" si="0"/>
        <v>1.022765415523132E-2</v>
      </c>
      <c r="E39" s="53"/>
    </row>
    <row r="40" spans="1:7" ht="15.75" customHeight="1" x14ac:dyDescent="0.3">
      <c r="C40" s="95">
        <v>201.92</v>
      </c>
      <c r="D40" s="88">
        <f t="shared" si="0"/>
        <v>-3.2973325172271132E-3</v>
      </c>
      <c r="E40" s="53"/>
    </row>
    <row r="41" spans="1:7" ht="15.75" customHeight="1" x14ac:dyDescent="0.3">
      <c r="C41" s="95">
        <v>203.87</v>
      </c>
      <c r="D41" s="88">
        <f t="shared" si="0"/>
        <v>6.3281142022232843E-3</v>
      </c>
      <c r="E41" s="53"/>
    </row>
    <row r="42" spans="1:7" ht="15.75" customHeight="1" x14ac:dyDescent="0.3">
      <c r="C42" s="95">
        <v>204.76</v>
      </c>
      <c r="D42" s="88">
        <f t="shared" si="0"/>
        <v>1.0721266807510796E-2</v>
      </c>
      <c r="E42" s="53"/>
    </row>
    <row r="43" spans="1:7" ht="16.5" customHeight="1" x14ac:dyDescent="0.3">
      <c r="C43" s="96">
        <v>190.03</v>
      </c>
      <c r="D43" s="89">
        <f t="shared" si="0"/>
        <v>-6.1987876873259982E-2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4051.7599999999998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202.58799999999999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202.58799999999999</v>
      </c>
      <c r="C49" s="93">
        <f>-IF(C46&lt;=80,10%,IF(C46&lt;250,7.5%,5%))</f>
        <v>-7.4999999999999997E-2</v>
      </c>
      <c r="D49" s="81">
        <f>IF(C46&lt;=80,C46*0.9,IF(C46&lt;250,C46*0.925,C46*0.95))</f>
        <v>187.3939</v>
      </c>
    </row>
    <row r="50" spans="1:6" ht="17.25" customHeight="1" x14ac:dyDescent="0.3">
      <c r="B50" s="283"/>
      <c r="C50" s="94">
        <f>IF(C46&lt;=80, 10%, IF(C46&lt;250, 7.5%, 5%))</f>
        <v>7.4999999999999997E-2</v>
      </c>
      <c r="D50" s="81">
        <f>IF(C46&lt;=80, C46*1.1, IF(C46&lt;250, C46*1.075, C46*1.05))</f>
        <v>217.78209999999999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32" zoomScale="60" zoomScaleNormal="40" zoomScalePageLayoutView="55" workbookViewId="0">
      <selection activeCell="E48" sqref="E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8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100" t="s">
        <v>33</v>
      </c>
      <c r="B18" s="290" t="s">
        <v>5</v>
      </c>
      <c r="C18" s="290"/>
      <c r="D18" s="268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0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5" t="s">
        <v>9</v>
      </c>
      <c r="C20" s="2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0" t="s">
        <v>9</v>
      </c>
      <c r="C26" s="290"/>
    </row>
    <row r="27" spans="1:14" ht="26.25" customHeight="1" x14ac:dyDescent="0.4">
      <c r="A27" s="109" t="s">
        <v>48</v>
      </c>
      <c r="B27" s="296" t="s">
        <v>125</v>
      </c>
      <c r="C27" s="296"/>
    </row>
    <row r="28" spans="1:14" ht="27" customHeight="1" x14ac:dyDescent="0.4">
      <c r="A28" s="109" t="s">
        <v>6</v>
      </c>
      <c r="B28" s="110">
        <v>100.09</v>
      </c>
    </row>
    <row r="29" spans="1:14" s="14" customFormat="1" ht="27" customHeight="1" x14ac:dyDescent="0.4">
      <c r="A29" s="109" t="s">
        <v>49</v>
      </c>
      <c r="B29" s="111"/>
      <c r="C29" s="297" t="s">
        <v>50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100.09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0" t="s">
        <v>53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0" t="s">
        <v>55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3" t="s">
        <v>59</v>
      </c>
      <c r="E36" s="304"/>
      <c r="F36" s="303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70663788</v>
      </c>
      <c r="E38" s="133">
        <f>IF(ISBLANK(D38),"-",$D$48/$D$45*D38)</f>
        <v>75613117.412892461</v>
      </c>
      <c r="F38" s="132">
        <v>69227599</v>
      </c>
      <c r="G38" s="134">
        <f>IF(ISBLANK(F38),"-",$D$48/$F$45*F38)</f>
        <v>75300986.088326961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70587916</v>
      </c>
      <c r="E39" s="138">
        <f>IF(ISBLANK(D39),"-",$D$48/$D$45*D39)</f>
        <v>75531931.29753235</v>
      </c>
      <c r="F39" s="137">
        <v>69206653</v>
      </c>
      <c r="G39" s="139">
        <f>IF(ISBLANK(F39),"-",$D$48/$F$45*F39)</f>
        <v>75278202.480670616</v>
      </c>
      <c r="I39" s="307">
        <f>ABS((F43/D43*D42)-F42)/D42</f>
        <v>3.7421881767024834E-3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70487716</v>
      </c>
      <c r="E40" s="138">
        <f>IF(ISBLANK(D40),"-",$D$48/$D$45*D40)</f>
        <v>75424713.236072466</v>
      </c>
      <c r="F40" s="137">
        <v>69069199</v>
      </c>
      <c r="G40" s="139">
        <f>IF(ISBLANK(F40),"-",$D$48/$F$45*F40)</f>
        <v>75128689.54231514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70579806.666666672</v>
      </c>
      <c r="E42" s="148">
        <f>AVERAGE(E38:E41)</f>
        <v>75523253.982165754</v>
      </c>
      <c r="F42" s="147">
        <f>AVERAGE(F38:F41)</f>
        <v>69167817</v>
      </c>
      <c r="G42" s="149">
        <f>AVERAGE(G38:G41)</f>
        <v>75235959.370437562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25.21</v>
      </c>
      <c r="E43" s="140"/>
      <c r="F43" s="329">
        <v>24.8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25.21</v>
      </c>
      <c r="E44" s="155"/>
      <c r="F44" s="154">
        <f>F43*$B$34</f>
        <v>24.8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25.232689000000001</v>
      </c>
      <c r="E45" s="158"/>
      <c r="F45" s="157">
        <f>F44*$B$30/100</f>
        <v>24.822320000000001</v>
      </c>
      <c r="H45" s="150"/>
    </row>
    <row r="46" spans="1:14" ht="19.5" customHeight="1" x14ac:dyDescent="0.3">
      <c r="A46" s="308" t="s">
        <v>78</v>
      </c>
      <c r="B46" s="309"/>
      <c r="C46" s="153" t="s">
        <v>79</v>
      </c>
      <c r="D46" s="159">
        <f>D45/$B$45</f>
        <v>5.0465377999999998E-2</v>
      </c>
      <c r="E46" s="160"/>
      <c r="F46" s="161">
        <f>F45/$B$45</f>
        <v>4.9644640000000004E-2</v>
      </c>
      <c r="H46" s="150"/>
    </row>
    <row r="47" spans="1:14" ht="27" customHeight="1" x14ac:dyDescent="0.4">
      <c r="A47" s="310"/>
      <c r="B47" s="311"/>
      <c r="C47" s="162" t="s">
        <v>80</v>
      </c>
      <c r="D47" s="163">
        <v>5.3999999999999999E-2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27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27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75379606.676301673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2.3670988375893501E-3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Etoricoxib 90mg</v>
      </c>
    </row>
    <row r="56" spans="1:12" ht="26.25" customHeight="1" x14ac:dyDescent="0.4">
      <c r="A56" s="177" t="s">
        <v>87</v>
      </c>
      <c r="B56" s="178">
        <v>90</v>
      </c>
      <c r="C56" s="99" t="str">
        <f>B20</f>
        <v>Etoricoxib</v>
      </c>
      <c r="H56" s="179"/>
    </row>
    <row r="57" spans="1:12" ht="18.75" x14ac:dyDescent="0.3">
      <c r="A57" s="176" t="s">
        <v>88</v>
      </c>
      <c r="B57" s="269">
        <f>Uniformity!C46</f>
        <v>202.58799999999999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2" t="s">
        <v>94</v>
      </c>
      <c r="D60" s="315">
        <v>201.01</v>
      </c>
      <c r="E60" s="182">
        <v>1</v>
      </c>
      <c r="F60" s="183">
        <v>72853875</v>
      </c>
      <c r="G60" s="271">
        <f>IF(ISBLANK(F60),"-",(F60/$D$50*$D$47*$B$68)*($B$57/$D$60))</f>
        <v>87.667243653320938</v>
      </c>
      <c r="H60" s="184">
        <f t="shared" ref="H60:H71" si="0">IF(ISBLANK(F60),"-",G60/$B$56)</f>
        <v>0.97408048503689926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3"/>
      <c r="D61" s="316"/>
      <c r="E61" s="185">
        <v>2</v>
      </c>
      <c r="F61" s="137">
        <v>72791659</v>
      </c>
      <c r="G61" s="272">
        <f>IF(ISBLANK(F61),"-",(F61/$D$50*$D$47*$B$68)*($B$57/$D$60))</f>
        <v>87.592377282367664</v>
      </c>
      <c r="H61" s="186">
        <f t="shared" si="0"/>
        <v>0.97324863647075177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72845779</v>
      </c>
      <c r="G62" s="272">
        <f>IF(ISBLANK(F62),"-",(F62/$D$50*$D$47*$B$68)*($B$57/$D$60))</f>
        <v>87.657501494724485</v>
      </c>
      <c r="H62" s="186">
        <f t="shared" si="0"/>
        <v>0.97397223883027206</v>
      </c>
      <c r="L62" s="112"/>
    </row>
    <row r="63" spans="1:12" ht="27" customHeight="1" x14ac:dyDescent="0.4">
      <c r="A63" s="124" t="s">
        <v>97</v>
      </c>
      <c r="B63" s="125">
        <v>1</v>
      </c>
      <c r="C63" s="314"/>
      <c r="D63" s="317"/>
      <c r="E63" s="188">
        <v>4</v>
      </c>
      <c r="F63" s="189"/>
      <c r="G63" s="272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202.02</v>
      </c>
      <c r="E64" s="182">
        <v>1</v>
      </c>
      <c r="F64" s="183">
        <v>73762924</v>
      </c>
      <c r="G64" s="273">
        <f>IF(ISBLANK(F64),"-",(F64/$D$50*$D$47*$B$68)*($B$57/$D$64))</f>
        <v>88.317367754306872</v>
      </c>
      <c r="H64" s="190">
        <f t="shared" si="0"/>
        <v>0.98130408615896525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>
        <v>73257294</v>
      </c>
      <c r="G65" s="274">
        <f>IF(ISBLANK(F65),"-",(F65/$D$50*$D$47*$B$68)*($B$57/$D$64))</f>
        <v>87.711969971301272</v>
      </c>
      <c r="H65" s="191">
        <f t="shared" si="0"/>
        <v>0.97457744412556968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>
        <v>73623415</v>
      </c>
      <c r="G66" s="274">
        <f>IF(ISBLANK(F66),"-",(F66/$D$50*$D$47*$B$68)*($B$57/$D$64))</f>
        <v>88.150331701641207</v>
      </c>
      <c r="H66" s="191">
        <f>IF(ISBLANK(F66),"-",G66/$B$56)</f>
        <v>0.97944813001823561</v>
      </c>
    </row>
    <row r="67" spans="1:8" ht="27" customHeight="1" x14ac:dyDescent="0.4">
      <c r="A67" s="124" t="s">
        <v>102</v>
      </c>
      <c r="B67" s="125">
        <v>1</v>
      </c>
      <c r="C67" s="314"/>
      <c r="D67" s="317"/>
      <c r="E67" s="188">
        <v>4</v>
      </c>
      <c r="F67" s="189"/>
      <c r="G67" s="275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1666.6666666666667</v>
      </c>
      <c r="C68" s="312" t="s">
        <v>104</v>
      </c>
      <c r="D68" s="315">
        <v>201.63</v>
      </c>
      <c r="E68" s="182">
        <v>1</v>
      </c>
      <c r="F68" s="183">
        <v>73715583</v>
      </c>
      <c r="G68" s="273">
        <f>IF(ISBLANK(F68),"-",(F68/$D$50*$D$47*$B$68)*($B$57/$D$68))</f>
        <v>88.431402714767984</v>
      </c>
      <c r="H68" s="186">
        <f t="shared" si="0"/>
        <v>0.98257114127519984</v>
      </c>
    </row>
    <row r="69" spans="1:8" ht="27" customHeight="1" x14ac:dyDescent="0.4">
      <c r="A69" s="172" t="s">
        <v>105</v>
      </c>
      <c r="B69" s="194">
        <f>(D47*B68)/B56*B57</f>
        <v>202.58799999999999</v>
      </c>
      <c r="C69" s="313"/>
      <c r="D69" s="316"/>
      <c r="E69" s="185">
        <v>2</v>
      </c>
      <c r="F69" s="137">
        <v>73453016</v>
      </c>
      <c r="G69" s="274">
        <f>IF(ISBLANK(F69),"-",(F69/$D$50*$D$47*$B$68)*($B$57/$D$68))</f>
        <v>88.116419543345344</v>
      </c>
      <c r="H69" s="186">
        <f>IF(ISBLANK(F69),"-",G69/$B$56)</f>
        <v>0.97907132825939269</v>
      </c>
    </row>
    <row r="70" spans="1:8" ht="26.25" customHeight="1" x14ac:dyDescent="0.4">
      <c r="A70" s="325" t="s">
        <v>78</v>
      </c>
      <c r="B70" s="326"/>
      <c r="C70" s="313"/>
      <c r="D70" s="316"/>
      <c r="E70" s="185">
        <v>3</v>
      </c>
      <c r="F70" s="137">
        <v>73713910</v>
      </c>
      <c r="G70" s="274">
        <f>IF(ISBLANK(F70),"-",(F70/$D$50*$D$47*$B$68)*($B$57/$D$68))</f>
        <v>88.429395734279979</v>
      </c>
      <c r="H70" s="186">
        <f t="shared" si="0"/>
        <v>0.98254884149199972</v>
      </c>
    </row>
    <row r="71" spans="1:8" ht="27" customHeight="1" x14ac:dyDescent="0.4">
      <c r="A71" s="327"/>
      <c r="B71" s="328"/>
      <c r="C71" s="324"/>
      <c r="D71" s="317"/>
      <c r="E71" s="188">
        <v>4</v>
      </c>
      <c r="F71" s="189"/>
      <c r="G71" s="275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0.97786914796303159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6">
        <f>STDEV(H60:H71)/H72</f>
        <v>3.9848174067279238E-3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0" t="str">
        <f>B20</f>
        <v>Etoricoxib</v>
      </c>
      <c r="D76" s="320"/>
      <c r="E76" s="205" t="s">
        <v>108</v>
      </c>
      <c r="F76" s="205"/>
      <c r="G76" s="206">
        <f>H72</f>
        <v>0.97786914796303159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6" t="str">
        <f>B26</f>
        <v>Etoricoxib</v>
      </c>
      <c r="C79" s="306"/>
    </row>
    <row r="80" spans="1:8" ht="26.25" customHeight="1" x14ac:dyDescent="0.4">
      <c r="A80" s="109" t="s">
        <v>48</v>
      </c>
      <c r="B80" s="306" t="str">
        <f>B27</f>
        <v>E1</v>
      </c>
      <c r="C80" s="306"/>
    </row>
    <row r="81" spans="1:12" ht="27" customHeight="1" x14ac:dyDescent="0.4">
      <c r="A81" s="109" t="s">
        <v>6</v>
      </c>
      <c r="B81" s="208">
        <f>B28</f>
        <v>100.09</v>
      </c>
    </row>
    <row r="82" spans="1:12" s="14" customFormat="1" ht="27" customHeight="1" x14ac:dyDescent="0.4">
      <c r="A82" s="109" t="s">
        <v>49</v>
      </c>
      <c r="B82" s="111">
        <v>0</v>
      </c>
      <c r="C82" s="297" t="s">
        <v>50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100.09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0" t="s">
        <v>111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0" t="s">
        <v>112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3" t="s">
        <v>60</v>
      </c>
      <c r="G89" s="305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330">
        <v>0.83499999999999996</v>
      </c>
      <c r="E91" s="133">
        <f>IF(ISBLANK(D91),"-",$D$101/$D$98*D91)</f>
        <v>0.82729985694350683</v>
      </c>
      <c r="F91" s="330">
        <v>0.81699999999999995</v>
      </c>
      <c r="G91" s="134">
        <f>IF(ISBLANK(F91),"-",$D$101/$F$98*F91)</f>
        <v>0.82284814634570802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331">
        <v>0.83299999999999996</v>
      </c>
      <c r="E92" s="138">
        <f>IF(ISBLANK(D92),"-",$D$101/$D$98*D92)</f>
        <v>0.82531830039992959</v>
      </c>
      <c r="F92" s="331">
        <v>0.81599999999999995</v>
      </c>
      <c r="G92" s="139">
        <f>IF(ISBLANK(F92),"-",$D$101/$F$98*F92)</f>
        <v>0.82184098827184549</v>
      </c>
      <c r="I92" s="307">
        <f>ABS((F96/D96*D95)-F95)/D95</f>
        <v>4.928135846018632E-3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331">
        <v>0.83299999999999996</v>
      </c>
      <c r="E93" s="138">
        <f>IF(ISBLANK(D93),"-",$D$101/$D$98*D93)</f>
        <v>0.82531830039992959</v>
      </c>
      <c r="F93" s="331">
        <v>0.81499999999999995</v>
      </c>
      <c r="G93" s="139">
        <f>IF(ISBLANK(F93),"-",$D$101/$F$98*F93)</f>
        <v>0.82083383019798295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215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0.83366666666666667</v>
      </c>
      <c r="E95" s="148">
        <f>AVERAGE(E91:E94)</f>
        <v>0.82597881924778871</v>
      </c>
      <c r="F95" s="218">
        <f>AVERAGE(F91:F94)</f>
        <v>0.81599999999999995</v>
      </c>
      <c r="G95" s="219">
        <f>AVERAGE(G91:G94)</f>
        <v>0.8218409882718456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25.21</v>
      </c>
      <c r="E96" s="140"/>
      <c r="F96" s="152">
        <v>24.8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25.21</v>
      </c>
      <c r="E97" s="155"/>
      <c r="F97" s="154">
        <f>F96*$B$87</f>
        <v>24.8</v>
      </c>
    </row>
    <row r="98" spans="1:10" ht="19.5" customHeight="1" x14ac:dyDescent="0.3">
      <c r="A98" s="124" t="s">
        <v>76</v>
      </c>
      <c r="B98" s="224">
        <f>(B97/B96)*(B95/B94)*(B93/B92)*(B91/B90)*B89</f>
        <v>2500</v>
      </c>
      <c r="C98" s="222" t="s">
        <v>115</v>
      </c>
      <c r="D98" s="225">
        <f>D97*$B$83/100</f>
        <v>25.232689000000001</v>
      </c>
      <c r="E98" s="158"/>
      <c r="F98" s="157">
        <f>F97*$B$83/100</f>
        <v>24.822320000000001</v>
      </c>
    </row>
    <row r="99" spans="1:10" ht="19.5" customHeight="1" x14ac:dyDescent="0.3">
      <c r="A99" s="308" t="s">
        <v>78</v>
      </c>
      <c r="B99" s="322"/>
      <c r="C99" s="222" t="s">
        <v>116</v>
      </c>
      <c r="D99" s="226">
        <f>D98/$B$98</f>
        <v>1.0093075600000001E-2</v>
      </c>
      <c r="E99" s="158"/>
      <c r="F99" s="161">
        <f>F98/$B$98</f>
        <v>9.9289280000000001E-3</v>
      </c>
      <c r="G99" s="227"/>
      <c r="H99" s="150"/>
    </row>
    <row r="100" spans="1:10" ht="19.5" customHeight="1" x14ac:dyDescent="0.3">
      <c r="A100" s="310"/>
      <c r="B100" s="323"/>
      <c r="C100" s="222" t="s">
        <v>80</v>
      </c>
      <c r="D100" s="228">
        <f>$B$56/$B$116</f>
        <v>0.01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0.8239099037598171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2.9892600658507156E-3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332">
        <v>0.78700000000000003</v>
      </c>
      <c r="E108" s="277">
        <f>IF(ISBLANK(D108),"-",D108/$D$103*$D$100*$B$116)</f>
        <v>85.968137628611487</v>
      </c>
      <c r="F108" s="244">
        <f t="shared" ref="F108:F113" si="1">IF(ISBLANK(D108), "-", E108/$B$56)</f>
        <v>0.95520152920679435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332">
        <v>0.85199999999999998</v>
      </c>
      <c r="E109" s="278">
        <f>IF(ISBLANK(D109),"-",D109/$D$103*$D$100*$B$116)</f>
        <v>93.068428538217276</v>
      </c>
      <c r="F109" s="245">
        <f t="shared" si="1"/>
        <v>1.0340936504246363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332">
        <v>0.8</v>
      </c>
      <c r="E110" s="278">
        <f t="shared" ref="E108:E113" si="2">IF(ISBLANK(D110),"-",D110/$D$103*$D$100*$B$116)</f>
        <v>87.388195810532636</v>
      </c>
      <c r="F110" s="245">
        <f t="shared" si="1"/>
        <v>0.97097995345036259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332">
        <v>0.78900000000000003</v>
      </c>
      <c r="E111" s="278">
        <f t="shared" si="2"/>
        <v>86.186608118137826</v>
      </c>
      <c r="F111" s="245">
        <f>IF(ISBLANK(D111), "-", E111/$B$56)</f>
        <v>0.95762897909042033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332">
        <v>0.81699999999999995</v>
      </c>
      <c r="E112" s="278">
        <f t="shared" si="2"/>
        <v>89.24519497150645</v>
      </c>
      <c r="F112" s="245">
        <f t="shared" si="1"/>
        <v>0.99161327746118277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333">
        <v>0.80100000000000005</v>
      </c>
      <c r="E113" s="279">
        <f t="shared" si="2"/>
        <v>87.49743105529582</v>
      </c>
      <c r="F113" s="247">
        <f>IF(ISBLANK(D113), "-", E113/$B$56)</f>
        <v>0.97219367839217574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3"/>
      <c r="D115" s="249"/>
      <c r="E115" s="250" t="s">
        <v>71</v>
      </c>
      <c r="F115" s="251">
        <f>AVERAGE(F108:F113)</f>
        <v>0.98028517800426218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2"/>
      <c r="D116" s="253"/>
      <c r="E116" s="216" t="s">
        <v>84</v>
      </c>
      <c r="F116" s="254">
        <f>STDEV(F108:F113)/F115</f>
        <v>2.9978882620610006E-2</v>
      </c>
      <c r="I116" s="98"/>
    </row>
    <row r="117" spans="1:10" ht="27" customHeight="1" x14ac:dyDescent="0.4">
      <c r="A117" s="308" t="s">
        <v>78</v>
      </c>
      <c r="B117" s="309"/>
      <c r="C117" s="255"/>
      <c r="D117" s="256"/>
      <c r="E117" s="257" t="s">
        <v>20</v>
      </c>
      <c r="F117" s="258">
        <f>COUNT(F108:F113)</f>
        <v>6</v>
      </c>
      <c r="I117" s="98"/>
      <c r="J117" s="236"/>
    </row>
    <row r="118" spans="1:10" ht="19.5" customHeight="1" x14ac:dyDescent="0.3">
      <c r="A118" s="310"/>
      <c r="B118" s="31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0" t="str">
        <f>B20</f>
        <v>Etoricoxib</v>
      </c>
      <c r="D120" s="320"/>
      <c r="E120" s="205" t="s">
        <v>124</v>
      </c>
      <c r="F120" s="205"/>
      <c r="G120" s="206">
        <f>F115</f>
        <v>0.98028517800426218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1" t="s">
        <v>26</v>
      </c>
      <c r="C122" s="321"/>
      <c r="E122" s="211" t="s">
        <v>27</v>
      </c>
      <c r="F122" s="261"/>
      <c r="G122" s="321" t="s">
        <v>28</v>
      </c>
      <c r="H122" s="321"/>
    </row>
    <row r="123" spans="1:10" ht="69.95" customHeight="1" x14ac:dyDescent="0.3">
      <c r="A123" s="262" t="s">
        <v>29</v>
      </c>
      <c r="B123" s="263" t="s">
        <v>126</v>
      </c>
      <c r="C123" s="263"/>
      <c r="E123" s="263"/>
      <c r="F123" s="98"/>
      <c r="G123" s="264"/>
      <c r="H123" s="264"/>
    </row>
    <row r="124" spans="1:10" ht="69.95" customHeight="1" x14ac:dyDescent="0.3">
      <c r="A124" s="262" t="s">
        <v>30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  <rowBreaks count="1" manualBreakCount="1">
    <brk id="126" max="16383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Etoricixib</vt:lpstr>
      <vt:lpstr>Etoricixib!Print_Area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cp:lastPrinted>2015-07-14T10:25:13Z</cp:lastPrinted>
  <dcterms:created xsi:type="dcterms:W3CDTF">2005-07-05T10:19:27Z</dcterms:created>
  <dcterms:modified xsi:type="dcterms:W3CDTF">2015-07-14T10:26:05Z</dcterms:modified>
  <cp:category/>
</cp:coreProperties>
</file>