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2"/>
  </bookViews>
  <sheets>
    <sheet name="Uniformity" sheetId="3" r:id="rId1"/>
    <sheet name="SST" sheetId="1" r:id="rId2"/>
    <sheet name="Sertraline" sheetId="2" r:id="rId3"/>
    <sheet name="Sheet2" sheetId="4" r:id="rId4"/>
  </sheets>
  <definedNames>
    <definedName name="_xlnm.Print_Area" localSheetId="2">Sertraline!$A$1:$I$126</definedName>
    <definedName name="_xlnm.Print_Area" localSheetId="1">SST!$A$1:$H$61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F112" i="2" l="1"/>
  <c r="F110" i="2"/>
  <c r="F108" i="2"/>
  <c r="H30" i="4"/>
  <c r="G61" i="2"/>
  <c r="H61" i="2" s="1"/>
  <c r="G60" i="2"/>
  <c r="B69" i="2"/>
  <c r="I29" i="4"/>
  <c r="B45" i="2"/>
  <c r="B21" i="1"/>
  <c r="B57" i="2"/>
  <c r="C46" i="3" l="1"/>
  <c r="C49" i="3" s="1"/>
  <c r="C45" i="3"/>
  <c r="D28" i="3" l="1"/>
  <c r="D36" i="3"/>
  <c r="D29" i="3"/>
  <c r="D37" i="3"/>
  <c r="D24" i="3"/>
  <c r="D32" i="3"/>
  <c r="D40" i="3"/>
  <c r="D49" i="3"/>
  <c r="D25" i="3"/>
  <c r="D33" i="3"/>
  <c r="D41" i="3"/>
  <c r="C50" i="3"/>
  <c r="D26" i="3"/>
  <c r="D30" i="3"/>
  <c r="D34" i="3"/>
  <c r="D38" i="3"/>
  <c r="D42" i="3"/>
  <c r="B49" i="3"/>
  <c r="D50" i="3"/>
  <c r="D27" i="3"/>
  <c r="D31" i="3"/>
  <c r="D35" i="3"/>
  <c r="D39" i="3"/>
  <c r="D43" i="3"/>
  <c r="B34" i="2" l="1"/>
  <c r="B30" i="2"/>
  <c r="C120" i="2"/>
  <c r="B116" i="2"/>
  <c r="D100" i="2" s="1"/>
  <c r="B98" i="2"/>
  <c r="F97" i="2"/>
  <c r="F95" i="2"/>
  <c r="D95" i="2"/>
  <c r="B87" i="2"/>
  <c r="D97" i="2" s="1"/>
  <c r="B81" i="2"/>
  <c r="B83" i="2" s="1"/>
  <c r="B80" i="2"/>
  <c r="B79" i="2"/>
  <c r="C76" i="2"/>
  <c r="B68" i="2"/>
  <c r="C56" i="2"/>
  <c r="B55" i="2"/>
  <c r="D48" i="2"/>
  <c r="D44" i="2"/>
  <c r="F42" i="2"/>
  <c r="D42" i="2"/>
  <c r="F44" i="2"/>
  <c r="F45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2" l="1"/>
  <c r="E93" i="2" s="1"/>
  <c r="I92" i="2"/>
  <c r="G38" i="2"/>
  <c r="E38" i="2"/>
  <c r="D49" i="2"/>
  <c r="I39" i="2"/>
  <c r="G41" i="2"/>
  <c r="D98" i="2"/>
  <c r="D99" i="2" s="1"/>
  <c r="D45" i="2"/>
  <c r="D46" i="2" s="1"/>
  <c r="F98" i="2"/>
  <c r="F99" i="2" s="1"/>
  <c r="E39" i="2"/>
  <c r="E41" i="2"/>
  <c r="E94" i="2"/>
  <c r="G40" i="2"/>
  <c r="G39" i="2"/>
  <c r="F46" i="2"/>
  <c r="D102" i="2" l="1"/>
  <c r="E91" i="2"/>
  <c r="G91" i="2"/>
  <c r="G92" i="2"/>
  <c r="E40" i="2"/>
  <c r="D50" i="2"/>
  <c r="G42" i="2"/>
  <c r="E92" i="2"/>
  <c r="G94" i="2"/>
  <c r="G93" i="2"/>
  <c r="G95" i="2" l="1"/>
  <c r="E95" i="2"/>
  <c r="G64" i="2"/>
  <c r="H64" i="2" s="1"/>
  <c r="D105" i="2"/>
  <c r="D103" i="2"/>
  <c r="E108" i="2" s="1"/>
  <c r="D52" i="2"/>
  <c r="E42" i="2"/>
  <c r="H63" i="2"/>
  <c r="G65" i="2"/>
  <c r="H65" i="2" s="1"/>
  <c r="G68" i="2"/>
  <c r="H68" i="2" s="1"/>
  <c r="H71" i="2"/>
  <c r="G69" i="2"/>
  <c r="H69" i="2" s="1"/>
  <c r="G66" i="2"/>
  <c r="H66" i="2" s="1"/>
  <c r="G62" i="2"/>
  <c r="H62" i="2" s="1"/>
  <c r="H60" i="2"/>
  <c r="D51" i="2"/>
  <c r="G70" i="2"/>
  <c r="H70" i="2" s="1"/>
  <c r="H67" i="2"/>
  <c r="E112" i="2" l="1"/>
  <c r="D104" i="2"/>
  <c r="E109" i="2"/>
  <c r="F109" i="2" s="1"/>
  <c r="E110" i="2"/>
  <c r="E113" i="2"/>
  <c r="F113" i="2" s="1"/>
  <c r="E111" i="2"/>
  <c r="F111" i="2" s="1"/>
  <c r="H72" i="2"/>
  <c r="H74" i="2"/>
  <c r="F117" i="2" l="1"/>
  <c r="F115" i="2"/>
  <c r="G120" i="2" s="1"/>
  <c r="G76" i="2"/>
  <c r="H73" i="2"/>
  <c r="F116" i="2" l="1"/>
</calcChain>
</file>

<file path=xl/sharedStrings.xml><?xml version="1.0" encoding="utf-8"?>
<sst xmlns="http://schemas.openxmlformats.org/spreadsheetml/2006/main" count="230" uniqueCount="129">
  <si>
    <t>HPLC System Suitability Report</t>
  </si>
  <si>
    <t>Analysis Data</t>
  </si>
  <si>
    <t>Assay</t>
  </si>
  <si>
    <t>Sample(s)</t>
  </si>
  <si>
    <t>Reference Substance:</t>
  </si>
  <si>
    <t>AURASERT 50</t>
  </si>
  <si>
    <t>% age Purity:</t>
  </si>
  <si>
    <t>NDQD201504174</t>
  </si>
  <si>
    <t>Weight (mg):</t>
  </si>
  <si>
    <t>Sertraline 50 mg</t>
  </si>
  <si>
    <t>Standard Conc (mg/mL):</t>
  </si>
  <si>
    <t>Each film coated tablet contains Sertraline Hydrochloride equivalent to Sertraline 50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</si>
  <si>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</si>
  <si>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</si>
  <si>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</si>
  <si>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</si>
  <si>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</si>
  <si>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</si>
  <si>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</si>
  <si>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</si>
  <si>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</si>
  <si>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</si>
  <si>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</si>
  <si>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</si>
  <si>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</si>
  <si>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</si>
  <si>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</si>
  <si>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</si>
  <si>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</si>
  <si>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</si>
  <si>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</si>
  <si>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</si>
  <si>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</si>
  <si>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</si>
  <si>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</si>
  <si>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</si>
  <si>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</si>
  <si>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</si>
  <si>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</si>
  <si>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</si>
  <si>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</si>
  <si>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</si>
  <si>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</si>
  <si>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</si>
  <si>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</si>
  <si>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</si>
  <si>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</si>
  <si>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</si>
  <si>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</si>
  <si>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</si>
  <si>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</si>
  <si>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</si>
  <si>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</si>
  <si>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</si>
  <si>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</si>
  <si>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</si>
  <si>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</si>
  <si>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</si>
  <si>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</si>
  <si>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</si>
  <si>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</si>
  <si>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</si>
  <si>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</si>
  <si>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</si>
  <si>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</si>
  <si>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</si>
  <si>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</si>
  <si>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</si>
  <si>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</si>
  <si>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</si>
  <si>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</si>
  <si>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</si>
  <si>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</si>
  <si>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</si>
  <si>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</si>
  <si>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</si>
  <si>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</si>
  <si>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</si>
  <si>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</si>
  <si>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</si>
  <si>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</si>
  <si>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</si>
  <si>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</si>
  <si>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</si>
  <si>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</si>
  <si>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</si>
  <si>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</si>
  <si>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</si>
  <si>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</si>
  <si>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</si>
  <si>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</si>
  <si>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</si>
  <si>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</si>
  <si>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</si>
  <si>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</si>
  <si>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</si>
  <si>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</si>
  <si>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</si>
  <si>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</si>
  <si>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</si>
  <si>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</si>
  <si>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</si>
  <si>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</si>
  <si>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</si>
  <si>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</si>
  <si>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</si>
  <si>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</si>
  <si>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</si>
  <si>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</si>
  <si>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</si>
  <si>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</si>
  <si>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</si>
  <si>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</si>
  <si>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</si>
  <si>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</si>
  <si>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</si>
  <si>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</si>
  <si>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Sertraline HCl</t>
  </si>
  <si>
    <t>S38 1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</si>
  <si>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</si>
  <si>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</si>
  <si>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</si>
  <si>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</si>
  <si>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</si>
  <si>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</si>
  <si>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</si>
  <si>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Aurasert 50</t>
  </si>
  <si>
    <t>Sertraline</t>
  </si>
  <si>
    <t>Sertraline 50mg per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</si>
</sst>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1" fillId="2" borderId="0"/>
    <xf numFmtId="0" fontId="25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5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6" fillId="2" borderId="58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8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58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21" fillId="2" borderId="0" xfId="1" applyFill="1"/>
    <xf numFmtId="0" fontId="22" fillId="2" borderId="56" xfId="1" applyFont="1" applyFill="1" applyBorder="1" applyAlignment="1">
      <alignment horizontal="center" wrapText="1"/>
    </xf>
    <xf numFmtId="0" fontId="22" fillId="2" borderId="57" xfId="1" applyFont="1" applyFill="1" applyBorder="1" applyAlignment="1">
      <alignment horizontal="center" wrapText="1"/>
    </xf>
    <xf numFmtId="0" fontId="22" fillId="2" borderId="58" xfId="1" applyFont="1" applyFill="1" applyBorder="1" applyAlignment="1">
      <alignment horizontal="center" wrapText="1"/>
    </xf>
    <xf numFmtId="0" fontId="22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72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2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3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9" xfId="1" applyNumberFormat="1" applyFont="1" applyFill="1" applyBorder="1" applyAlignment="1">
      <alignment horizontal="center" wrapText="1"/>
    </xf>
    <xf numFmtId="0" fontId="5" fillId="2" borderId="19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40" xfId="1" applyNumberFormat="1" applyFont="1" applyFill="1" applyBorder="1" applyProtection="1">
      <protection locked="0"/>
    </xf>
    <xf numFmtId="10" fontId="6" fillId="2" borderId="2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40" xfId="1" applyNumberFormat="1" applyFont="1" applyFill="1" applyBorder="1" applyAlignment="1">
      <alignment horizontal="center"/>
    </xf>
    <xf numFmtId="2" fontId="6" fillId="3" borderId="30" xfId="1" applyNumberFormat="1" applyFont="1" applyFill="1" applyBorder="1" applyProtection="1">
      <protection locked="0"/>
    </xf>
    <xf numFmtId="10" fontId="6" fillId="2" borderId="30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9" xfId="1" applyFont="1" applyFill="1" applyBorder="1" applyAlignment="1">
      <alignment horizontal="right" vertical="center"/>
    </xf>
    <xf numFmtId="170" fontId="6" fillId="2" borderId="19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19" xfId="1" applyNumberFormat="1" applyFont="1" applyFill="1" applyBorder="1" applyAlignment="1">
      <alignment horizontal="center" vertical="center"/>
    </xf>
    <xf numFmtId="2" fontId="24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4" fillId="2" borderId="0" xfId="1" applyNumberFormat="1" applyFont="1" applyFill="1"/>
    <xf numFmtId="0" fontId="5" fillId="2" borderId="19" xfId="1" applyFont="1" applyFill="1" applyBorder="1" applyAlignment="1">
      <alignment horizontal="center" vertical="center"/>
    </xf>
    <xf numFmtId="10" fontId="2" fillId="2" borderId="0" xfId="1" applyNumberFormat="1" applyFont="1" applyFill="1"/>
    <xf numFmtId="170" fontId="5" fillId="2" borderId="23" xfId="1" applyNumberFormat="1" applyFont="1" applyFill="1" applyBorder="1" applyAlignment="1">
      <alignment horizontal="center" vertical="center"/>
    </xf>
    <xf numFmtId="165" fontId="5" fillId="2" borderId="35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 vertical="center"/>
    </xf>
    <xf numFmtId="170" fontId="5" fillId="2" borderId="30" xfId="1" applyNumberFormat="1" applyFont="1" applyFill="1" applyBorder="1" applyAlignment="1">
      <alignment horizontal="center" vertical="center"/>
    </xf>
    <xf numFmtId="165" fontId="5" fillId="2" borderId="3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4" fontId="6" fillId="2" borderId="0" xfId="0" applyNumberFormat="1" applyFont="1" applyFill="1"/>
  </cellXfs>
  <cellStyles count="3">
    <cellStyle name="Normal" xfId="0" builtinId="0"/>
    <cellStyle name="Normal 2" xfId="2"/>
    <cellStyle name="Normal 2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54"/>
  <sheetViews>
    <sheetView view="pageBreakPreview" topLeftCell="A34" workbookViewId="0">
      <selection activeCell="C44" sqref="C44"/>
    </sheetView>
  </sheetViews>
  <sheetFormatPr defaultRowHeight="12.75" x14ac:dyDescent="0.2"/>
  <cols>
    <col min="1" max="1" width="15.5703125" style="277" customWidth="1"/>
    <col min="2" max="2" width="18.42578125" style="277" customWidth="1"/>
    <col min="3" max="3" width="14.28515625" style="277" customWidth="1"/>
    <col min="4" max="4" width="15" style="277" customWidth="1"/>
    <col min="5" max="5" width="9.140625" style="277" customWidth="1"/>
    <col min="6" max="6" width="27.85546875" style="277" customWidth="1"/>
    <col min="7" max="7" width="12.28515625" style="277" customWidth="1"/>
    <col min="8" max="8" width="9.140625" style="277" customWidth="1"/>
    <col min="9" max="16384" width="9.140625" style="277"/>
  </cols>
  <sheetData>
    <row r="10" spans="1:7" ht="13.5" customHeight="1" thickBot="1" x14ac:dyDescent="0.25"/>
    <row r="11" spans="1:7" ht="13.5" customHeight="1" thickBot="1" x14ac:dyDescent="0.3">
      <c r="A11" s="278" t="s">
        <v>32</v>
      </c>
      <c r="B11" s="279"/>
      <c r="C11" s="279"/>
      <c r="D11" s="279"/>
      <c r="E11" s="279"/>
      <c r="F11" s="280"/>
      <c r="G11" s="281"/>
    </row>
    <row r="12" spans="1:7" ht="16.5" customHeight="1" x14ac:dyDescent="0.3">
      <c r="A12" s="282" t="s">
        <v>119</v>
      </c>
      <c r="B12" s="282"/>
      <c r="C12" s="282"/>
      <c r="D12" s="282"/>
      <c r="E12" s="282"/>
      <c r="F12" s="282"/>
      <c r="G12" s="283"/>
    </row>
    <row r="14" spans="1:7" ht="16.5" customHeight="1" x14ac:dyDescent="0.3">
      <c r="A14" s="284" t="s">
        <v>34</v>
      </c>
      <c r="B14" s="284"/>
      <c r="C14" s="285" t="s">
        <v>126</v>
      </c>
    </row>
    <row r="15" spans="1:7" ht="16.5" customHeight="1" x14ac:dyDescent="0.3">
      <c r="A15" s="284" t="s">
        <v>35</v>
      </c>
      <c r="B15" s="284"/>
      <c r="C15" s="285" t="s">
        <v>7</v>
      </c>
    </row>
    <row r="16" spans="1:7" ht="16.5" customHeight="1" x14ac:dyDescent="0.3">
      <c r="A16" s="284" t="s">
        <v>36</v>
      </c>
      <c r="B16" s="284"/>
      <c r="C16" s="285" t="s">
        <v>127</v>
      </c>
    </row>
    <row r="17" spans="1:5" ht="16.5" customHeight="1" x14ac:dyDescent="0.3">
      <c r="A17" s="284" t="s">
        <v>37</v>
      </c>
      <c r="B17" s="284"/>
      <c r="C17" s="285" t="s">
        <v>128</v>
      </c>
    </row>
    <row r="18" spans="1:5" ht="16.5" customHeight="1" x14ac:dyDescent="0.3">
      <c r="A18" s="284" t="s">
        <v>38</v>
      </c>
      <c r="B18" s="284"/>
      <c r="C18" s="286">
        <v>42186.318854166668</v>
      </c>
    </row>
    <row r="19" spans="1:5" ht="16.5" customHeight="1" x14ac:dyDescent="0.3">
      <c r="A19" s="284" t="s">
        <v>39</v>
      </c>
      <c r="B19" s="284"/>
      <c r="C19" s="286">
        <v>42188</v>
      </c>
    </row>
    <row r="20" spans="1:5" ht="16.5" customHeight="1" x14ac:dyDescent="0.3">
      <c r="A20" s="287"/>
      <c r="B20" s="287"/>
      <c r="C20" s="288"/>
    </row>
    <row r="21" spans="1:5" ht="16.5" customHeight="1" x14ac:dyDescent="0.3">
      <c r="A21" s="282" t="s">
        <v>1</v>
      </c>
      <c r="B21" s="282"/>
      <c r="C21" s="289" t="s">
        <v>120</v>
      </c>
      <c r="D21" s="290"/>
    </row>
    <row r="22" spans="1:5" ht="15.75" customHeight="1" thickBot="1" x14ac:dyDescent="0.35">
      <c r="A22" s="291"/>
      <c r="B22" s="291"/>
      <c r="C22" s="292"/>
      <c r="D22" s="291"/>
      <c r="E22" s="291"/>
    </row>
    <row r="23" spans="1:5" ht="33.75" customHeight="1" thickBot="1" x14ac:dyDescent="0.35">
      <c r="C23" s="293" t="s">
        <v>121</v>
      </c>
      <c r="D23" s="294" t="s">
        <v>122</v>
      </c>
      <c r="E23" s="295"/>
    </row>
    <row r="24" spans="1:5" ht="15.75" customHeight="1" x14ac:dyDescent="0.25">
      <c r="C24" s="296">
        <v>155.62</v>
      </c>
      <c r="D24" s="297">
        <f t="shared" ref="D24:D43" si="0">(C24-$C$46)/$C$46</f>
        <v>-1.3348050414561362E-3</v>
      </c>
      <c r="E24" s="298"/>
    </row>
    <row r="25" spans="1:5" ht="15.75" customHeight="1" x14ac:dyDescent="0.25">
      <c r="C25" s="296">
        <v>158.76</v>
      </c>
      <c r="D25" s="299">
        <f t="shared" si="0"/>
        <v>1.8815617218984771E-2</v>
      </c>
      <c r="E25" s="298"/>
    </row>
    <row r="26" spans="1:5" ht="15.75" customHeight="1" x14ac:dyDescent="0.25">
      <c r="C26" s="296">
        <v>156.58000000000001</v>
      </c>
      <c r="D26" s="299">
        <f t="shared" si="0"/>
        <v>4.8258336114175952E-3</v>
      </c>
      <c r="E26" s="298"/>
    </row>
    <row r="27" spans="1:5" ht="15.75" customHeight="1" x14ac:dyDescent="0.25">
      <c r="C27" s="296">
        <v>154.72</v>
      </c>
      <c r="D27" s="299">
        <f t="shared" si="0"/>
        <v>-7.1104037785252473E-3</v>
      </c>
      <c r="E27" s="298"/>
    </row>
    <row r="28" spans="1:5" ht="15.75" customHeight="1" x14ac:dyDescent="0.25">
      <c r="C28" s="296">
        <v>157.66</v>
      </c>
      <c r="D28" s="299">
        <f t="shared" si="0"/>
        <v>1.1756552095900383E-2</v>
      </c>
      <c r="E28" s="298"/>
    </row>
    <row r="29" spans="1:5" ht="15.75" customHeight="1" x14ac:dyDescent="0.25">
      <c r="C29" s="296">
        <v>158.36000000000001</v>
      </c>
      <c r="D29" s="299">
        <f t="shared" si="0"/>
        <v>1.6248684446954216E-2</v>
      </c>
      <c r="E29" s="298"/>
    </row>
    <row r="30" spans="1:5" ht="15.75" customHeight="1" x14ac:dyDescent="0.25">
      <c r="C30" s="296">
        <v>154.19</v>
      </c>
      <c r="D30" s="299">
        <f t="shared" si="0"/>
        <v>-1.0511589701465932E-2</v>
      </c>
      <c r="E30" s="298"/>
    </row>
    <row r="31" spans="1:5" ht="15.75" customHeight="1" x14ac:dyDescent="0.25">
      <c r="C31" s="296">
        <v>156.6</v>
      </c>
      <c r="D31" s="299">
        <f t="shared" si="0"/>
        <v>4.9541802500190132E-3</v>
      </c>
      <c r="E31" s="298"/>
    </row>
    <row r="32" spans="1:5" ht="15.75" customHeight="1" x14ac:dyDescent="0.25">
      <c r="C32" s="296">
        <v>156.34</v>
      </c>
      <c r="D32" s="299">
        <f t="shared" si="0"/>
        <v>3.2856739481991167E-3</v>
      </c>
      <c r="E32" s="298"/>
    </row>
    <row r="33" spans="1:7" ht="15.75" customHeight="1" x14ac:dyDescent="0.25">
      <c r="C33" s="296">
        <v>155.94</v>
      </c>
      <c r="D33" s="299">
        <f t="shared" si="0"/>
        <v>7.1874117616838008E-4</v>
      </c>
      <c r="E33" s="298"/>
    </row>
    <row r="34" spans="1:7" ht="15.75" customHeight="1" x14ac:dyDescent="0.25">
      <c r="C34" s="296">
        <v>156.93</v>
      </c>
      <c r="D34" s="299">
        <f t="shared" si="0"/>
        <v>7.0718997869444206E-3</v>
      </c>
      <c r="E34" s="298"/>
    </row>
    <row r="35" spans="1:7" ht="15.75" customHeight="1" x14ac:dyDescent="0.25">
      <c r="C35" s="296">
        <v>155.35</v>
      </c>
      <c r="D35" s="299">
        <f t="shared" si="0"/>
        <v>-3.0674846625769244E-3</v>
      </c>
      <c r="E35" s="298"/>
    </row>
    <row r="36" spans="1:7" ht="15.75" customHeight="1" x14ac:dyDescent="0.25">
      <c r="C36" s="296">
        <v>155.35</v>
      </c>
      <c r="D36" s="299">
        <f t="shared" si="0"/>
        <v>-3.0674846625769244E-3</v>
      </c>
      <c r="E36" s="298"/>
    </row>
    <row r="37" spans="1:7" ht="15.75" customHeight="1" x14ac:dyDescent="0.25">
      <c r="C37" s="296">
        <v>153.66</v>
      </c>
      <c r="D37" s="299">
        <f t="shared" si="0"/>
        <v>-1.3912775624406617E-2</v>
      </c>
      <c r="E37" s="298"/>
    </row>
    <row r="38" spans="1:7" ht="15.75" customHeight="1" x14ac:dyDescent="0.25">
      <c r="C38" s="296">
        <v>154.07</v>
      </c>
      <c r="D38" s="299">
        <f t="shared" si="0"/>
        <v>-1.1281669533075172E-2</v>
      </c>
      <c r="E38" s="298"/>
    </row>
    <row r="39" spans="1:7" ht="15.75" customHeight="1" x14ac:dyDescent="0.25">
      <c r="C39" s="296">
        <v>157.13</v>
      </c>
      <c r="D39" s="299">
        <f t="shared" si="0"/>
        <v>8.3553661729596981E-3</v>
      </c>
      <c r="E39" s="298"/>
    </row>
    <row r="40" spans="1:7" ht="15.75" customHeight="1" x14ac:dyDescent="0.25">
      <c r="C40" s="296">
        <v>155.58000000000001</v>
      </c>
      <c r="D40" s="299">
        <f t="shared" si="0"/>
        <v>-1.5914983186591551E-3</v>
      </c>
      <c r="E40" s="298"/>
    </row>
    <row r="41" spans="1:7" ht="15.75" customHeight="1" x14ac:dyDescent="0.25">
      <c r="C41" s="296">
        <v>151.88</v>
      </c>
      <c r="D41" s="299">
        <f t="shared" si="0"/>
        <v>-2.533562645994324E-2</v>
      </c>
      <c r="E41" s="298"/>
    </row>
    <row r="42" spans="1:7" ht="15.75" customHeight="1" x14ac:dyDescent="0.25">
      <c r="C42" s="296">
        <v>155.52000000000001</v>
      </c>
      <c r="D42" s="299">
        <f t="shared" si="0"/>
        <v>-1.9765382344637747E-3</v>
      </c>
      <c r="E42" s="298"/>
    </row>
    <row r="43" spans="1:7" ht="16.5" customHeight="1" thickBot="1" x14ac:dyDescent="0.3">
      <c r="C43" s="300">
        <v>156.32</v>
      </c>
      <c r="D43" s="301">
        <f t="shared" si="0"/>
        <v>3.1573273095975157E-3</v>
      </c>
      <c r="E43" s="298"/>
    </row>
    <row r="44" spans="1:7" ht="16.5" customHeight="1" thickBot="1" x14ac:dyDescent="0.3">
      <c r="C44" s="302"/>
      <c r="D44" s="298"/>
      <c r="E44" s="303"/>
    </row>
    <row r="45" spans="1:7" ht="16.5" customHeight="1" thickBot="1" x14ac:dyDescent="0.3">
      <c r="B45" s="304" t="s">
        <v>123</v>
      </c>
      <c r="C45" s="305">
        <f>SUM(C24:C44)</f>
        <v>3116.5600000000004</v>
      </c>
      <c r="D45" s="306"/>
      <c r="E45" s="302"/>
    </row>
    <row r="46" spans="1:7" ht="17.25" customHeight="1" thickBot="1" x14ac:dyDescent="0.25">
      <c r="B46" s="304" t="s">
        <v>124</v>
      </c>
      <c r="C46" s="307">
        <f>AVERAGE(C24:C44)</f>
        <v>155.82800000000003</v>
      </c>
      <c r="E46" s="308"/>
    </row>
    <row r="47" spans="1:7" ht="17.25" customHeight="1" thickBot="1" x14ac:dyDescent="0.35">
      <c r="A47" s="285"/>
      <c r="B47" s="309"/>
      <c r="D47" s="310"/>
      <c r="E47" s="308"/>
    </row>
    <row r="48" spans="1:7" ht="33.75" customHeight="1" thickBot="1" x14ac:dyDescent="0.35">
      <c r="B48" s="311" t="s">
        <v>124</v>
      </c>
      <c r="C48" s="294" t="s">
        <v>125</v>
      </c>
      <c r="D48" s="312"/>
      <c r="G48" s="310"/>
    </row>
    <row r="49" spans="1:6" ht="17.25" customHeight="1" thickBot="1" x14ac:dyDescent="0.35">
      <c r="B49" s="313">
        <f>C46</f>
        <v>155.82800000000003</v>
      </c>
      <c r="C49" s="314">
        <f>-IF(C46&lt;=80,10%,IF(C46&lt;250,7.5%,5%))</f>
        <v>-7.4999999999999997E-2</v>
      </c>
      <c r="D49" s="315">
        <f>IF(C46&lt;=80,C46*0.9,IF(C46&lt;250,C46*0.925,C46*0.95))</f>
        <v>144.14090000000004</v>
      </c>
    </row>
    <row r="50" spans="1:6" ht="17.25" customHeight="1" thickBot="1" x14ac:dyDescent="0.35">
      <c r="B50" s="316"/>
      <c r="C50" s="317">
        <f>IF(C46&lt;=80, 10%, IF(C46&lt;250, 7.5%, 5%))</f>
        <v>7.4999999999999997E-2</v>
      </c>
      <c r="D50" s="315">
        <f>IF(C46&lt;=80, C46*1.1, IF(C46&lt;250, C46*1.075, C46*1.05))</f>
        <v>167.51510000000002</v>
      </c>
    </row>
    <row r="51" spans="1:6" ht="16.5" customHeight="1" thickBot="1" x14ac:dyDescent="0.3">
      <c r="A51" s="318"/>
      <c r="B51" s="319"/>
      <c r="C51" s="285"/>
      <c r="D51" s="320"/>
      <c r="E51" s="285"/>
      <c r="F51" s="290"/>
    </row>
    <row r="52" spans="1:6" ht="16.5" customHeight="1" x14ac:dyDescent="0.3">
      <c r="A52" s="285"/>
      <c r="B52" s="321" t="s">
        <v>25</v>
      </c>
      <c r="C52" s="321"/>
      <c r="D52" s="322" t="s">
        <v>26</v>
      </c>
      <c r="E52" s="323"/>
      <c r="F52" s="322" t="s">
        <v>27</v>
      </c>
    </row>
    <row r="53" spans="1:6" ht="34.5" customHeight="1" x14ac:dyDescent="0.3">
      <c r="A53" s="287" t="s">
        <v>28</v>
      </c>
      <c r="B53" s="324"/>
      <c r="C53" s="285"/>
      <c r="D53" s="324"/>
      <c r="E53" s="285"/>
      <c r="F53" s="324"/>
    </row>
    <row r="54" spans="1:6" ht="34.5" customHeight="1" x14ac:dyDescent="0.3">
      <c r="A54" s="287" t="s">
        <v>29</v>
      </c>
      <c r="B54" s="325"/>
      <c r="C54" s="326"/>
      <c r="D54" s="325"/>
      <c r="E54" s="285"/>
      <c r="F54" s="327"/>
    </row>
  </sheetData>
  <sheetProtection formatCells="0" formatColumns="0" formatRows="0" insertColumns="0" insertRows="0" insertHyperlinks="0" deleteColumns="0" deleteRows="0" sort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11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3">
        <v>12.47</v>
      </c>
      <c r="C20" s="10"/>
      <c r="D20" s="10"/>
      <c r="E20" s="10"/>
    </row>
    <row r="21" spans="1:6" ht="16.5" customHeight="1" x14ac:dyDescent="0.3">
      <c r="A21" s="7" t="s">
        <v>10</v>
      </c>
      <c r="B21" s="4">
        <f>B20/100</f>
        <v>0.12470000000000001</v>
      </c>
      <c r="C21" s="10"/>
      <c r="D21" s="10"/>
      <c r="E21" s="10"/>
    </row>
    <row r="22" spans="1:6" ht="15.75" customHeight="1" x14ac:dyDescent="0.25">
      <c r="A22" s="10"/>
      <c r="B22" s="328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62393785</v>
      </c>
      <c r="C24" s="18">
        <v>5537.42</v>
      </c>
      <c r="D24" s="19">
        <v>1.07</v>
      </c>
      <c r="E24" s="20">
        <v>3.57</v>
      </c>
    </row>
    <row r="25" spans="1:6" ht="16.5" customHeight="1" x14ac:dyDescent="0.3">
      <c r="A25" s="17">
        <v>2</v>
      </c>
      <c r="B25" s="18">
        <v>62195338</v>
      </c>
      <c r="C25" s="18">
        <v>5551.49</v>
      </c>
      <c r="D25" s="19">
        <v>1.0900000000000001</v>
      </c>
      <c r="E25" s="19">
        <v>3.57</v>
      </c>
    </row>
    <row r="26" spans="1:6" ht="16.5" customHeight="1" x14ac:dyDescent="0.3">
      <c r="A26" s="17">
        <v>3</v>
      </c>
      <c r="B26" s="18">
        <v>62175562</v>
      </c>
      <c r="C26" s="18">
        <v>5522.47</v>
      </c>
      <c r="D26" s="19">
        <v>1.07</v>
      </c>
      <c r="E26" s="19">
        <v>3.57</v>
      </c>
    </row>
    <row r="27" spans="1:6" ht="16.5" customHeight="1" x14ac:dyDescent="0.3">
      <c r="A27" s="17">
        <v>4</v>
      </c>
      <c r="B27" s="18">
        <v>62151469</v>
      </c>
      <c r="C27" s="18">
        <v>5526.52</v>
      </c>
      <c r="D27" s="19">
        <v>1.1000000000000001</v>
      </c>
      <c r="E27" s="19">
        <v>3.57</v>
      </c>
    </row>
    <row r="28" spans="1:6" ht="16.5" customHeight="1" x14ac:dyDescent="0.3">
      <c r="A28" s="17">
        <v>5</v>
      </c>
      <c r="B28" s="18">
        <v>62051763</v>
      </c>
      <c r="C28" s="18">
        <v>5524.87</v>
      </c>
      <c r="D28" s="19">
        <v>1.0900000000000001</v>
      </c>
      <c r="E28" s="19">
        <v>3.57</v>
      </c>
    </row>
    <row r="29" spans="1:6" ht="16.5" customHeight="1" x14ac:dyDescent="0.3">
      <c r="A29" s="17">
        <v>6</v>
      </c>
      <c r="B29" s="21">
        <v>62464642</v>
      </c>
      <c r="C29" s="21">
        <v>5518.5</v>
      </c>
      <c r="D29" s="22">
        <v>1.1000000000000001</v>
      </c>
      <c r="E29" s="22">
        <v>3.57</v>
      </c>
    </row>
    <row r="30" spans="1:6" ht="16.5" customHeight="1" x14ac:dyDescent="0.3">
      <c r="A30" s="23" t="s">
        <v>17</v>
      </c>
      <c r="B30" s="24">
        <f>AVERAGE(B24:B29)</f>
        <v>62238759.833333336</v>
      </c>
      <c r="C30" s="25">
        <f>AVERAGE(C24:C29)</f>
        <v>5530.211666666667</v>
      </c>
      <c r="D30" s="26">
        <f>AVERAGE(D24:D29)</f>
        <v>1.0866666666666667</v>
      </c>
      <c r="E30" s="26">
        <f>AVERAGE(E24:E29)</f>
        <v>3.57</v>
      </c>
    </row>
    <row r="31" spans="1:6" ht="16.5" customHeight="1" x14ac:dyDescent="0.3">
      <c r="A31" s="27" t="s">
        <v>18</v>
      </c>
      <c r="B31" s="28">
        <f>(STDEV(B24:B29)/B30)</f>
        <v>2.525381956744959E-3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62393785</v>
      </c>
      <c r="C45" s="18">
        <v>5537.42</v>
      </c>
      <c r="D45" s="19">
        <v>1.07</v>
      </c>
      <c r="E45" s="20">
        <v>3.57</v>
      </c>
    </row>
    <row r="46" spans="1:6" ht="16.5" customHeight="1" x14ac:dyDescent="0.3">
      <c r="A46" s="17">
        <v>2</v>
      </c>
      <c r="B46" s="18">
        <v>62195338</v>
      </c>
      <c r="C46" s="18">
        <v>5551.49</v>
      </c>
      <c r="D46" s="19">
        <v>1.0900000000000001</v>
      </c>
      <c r="E46" s="19">
        <v>3.57</v>
      </c>
    </row>
    <row r="47" spans="1:6" ht="16.5" customHeight="1" x14ac:dyDescent="0.3">
      <c r="A47" s="17">
        <v>3</v>
      </c>
      <c r="B47" s="18">
        <v>62175562</v>
      </c>
      <c r="C47" s="18">
        <v>5522.47</v>
      </c>
      <c r="D47" s="19">
        <v>1.07</v>
      </c>
      <c r="E47" s="19">
        <v>3.57</v>
      </c>
    </row>
    <row r="48" spans="1:6" ht="16.5" customHeight="1" x14ac:dyDescent="0.3">
      <c r="A48" s="17">
        <v>4</v>
      </c>
      <c r="B48" s="18">
        <v>62151469</v>
      </c>
      <c r="C48" s="18">
        <v>5526.52</v>
      </c>
      <c r="D48" s="19">
        <v>1.1000000000000001</v>
      </c>
      <c r="E48" s="19">
        <v>3.57</v>
      </c>
    </row>
    <row r="49" spans="1:7" ht="16.5" customHeight="1" x14ac:dyDescent="0.3">
      <c r="A49" s="17">
        <v>5</v>
      </c>
      <c r="B49" s="18">
        <v>62051763</v>
      </c>
      <c r="C49" s="18">
        <v>5524.87</v>
      </c>
      <c r="D49" s="19">
        <v>1.0900000000000001</v>
      </c>
      <c r="E49" s="19">
        <v>3.57</v>
      </c>
    </row>
    <row r="50" spans="1:7" ht="16.5" customHeight="1" x14ac:dyDescent="0.3">
      <c r="A50" s="17">
        <v>6</v>
      </c>
      <c r="B50" s="21">
        <v>62464642</v>
      </c>
      <c r="C50" s="21">
        <v>5518.5</v>
      </c>
      <c r="D50" s="22">
        <v>1.1000000000000001</v>
      </c>
      <c r="E50" s="22">
        <v>3.57</v>
      </c>
    </row>
    <row r="51" spans="1:7" ht="16.5" customHeight="1" x14ac:dyDescent="0.3">
      <c r="A51" s="23" t="s">
        <v>17</v>
      </c>
      <c r="B51" s="24">
        <f>AVERAGE(B45:B50)</f>
        <v>62238759.833333336</v>
      </c>
      <c r="C51" s="25">
        <f>AVERAGE(C45:C50)</f>
        <v>5530.211666666667</v>
      </c>
      <c r="D51" s="26">
        <f>AVERAGE(D45:D50)</f>
        <v>1.0866666666666667</v>
      </c>
      <c r="E51" s="26">
        <f>AVERAGE(E45:E50)</f>
        <v>3.57</v>
      </c>
    </row>
    <row r="52" spans="1:7" ht="16.5" customHeight="1" x14ac:dyDescent="0.3">
      <c r="A52" s="27" t="s">
        <v>18</v>
      </c>
      <c r="B52" s="28">
        <f>(STDEV(B45:B50)/B51)</f>
        <v>2.525381956744959E-3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25</v>
      </c>
      <c r="C59" s="23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108" zoomScale="60" zoomScaleNormal="40" zoomScalePageLayoutView="55" workbookViewId="0">
      <selection activeCell="H110" sqref="H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6" t="s">
        <v>30</v>
      </c>
      <c r="B1" s="266"/>
      <c r="C1" s="266"/>
      <c r="D1" s="266"/>
      <c r="E1" s="266"/>
      <c r="F1" s="266"/>
      <c r="G1" s="266"/>
      <c r="H1" s="266"/>
      <c r="I1" s="266"/>
    </row>
    <row r="2" spans="1:9" ht="18.75" customHeight="1" x14ac:dyDescent="0.25">
      <c r="A2" s="266"/>
      <c r="B2" s="266"/>
      <c r="C2" s="266"/>
      <c r="D2" s="266"/>
      <c r="E2" s="266"/>
      <c r="F2" s="266"/>
      <c r="G2" s="266"/>
      <c r="H2" s="266"/>
      <c r="I2" s="266"/>
    </row>
    <row r="3" spans="1:9" ht="18.75" customHeight="1" x14ac:dyDescent="0.25">
      <c r="A3" s="266"/>
      <c r="B3" s="266"/>
      <c r="C3" s="266"/>
      <c r="D3" s="266"/>
      <c r="E3" s="266"/>
      <c r="F3" s="266"/>
      <c r="G3" s="266"/>
      <c r="H3" s="266"/>
      <c r="I3" s="266"/>
    </row>
    <row r="4" spans="1:9" ht="18.75" customHeight="1" x14ac:dyDescent="0.25">
      <c r="A4" s="266"/>
      <c r="B4" s="266"/>
      <c r="C4" s="266"/>
      <c r="D4" s="266"/>
      <c r="E4" s="266"/>
      <c r="F4" s="266"/>
      <c r="G4" s="266"/>
      <c r="H4" s="266"/>
      <c r="I4" s="266"/>
    </row>
    <row r="5" spans="1:9" ht="18.75" customHeight="1" x14ac:dyDescent="0.25">
      <c r="A5" s="266"/>
      <c r="B5" s="266"/>
      <c r="C5" s="266"/>
      <c r="D5" s="266"/>
      <c r="E5" s="266"/>
      <c r="F5" s="266"/>
      <c r="G5" s="266"/>
      <c r="H5" s="266"/>
      <c r="I5" s="266"/>
    </row>
    <row r="6" spans="1:9" ht="18.75" customHeight="1" x14ac:dyDescent="0.25">
      <c r="A6" s="266"/>
      <c r="B6" s="266"/>
      <c r="C6" s="266"/>
      <c r="D6" s="266"/>
      <c r="E6" s="266"/>
      <c r="F6" s="266"/>
      <c r="G6" s="266"/>
      <c r="H6" s="266"/>
      <c r="I6" s="266"/>
    </row>
    <row r="7" spans="1:9" ht="18.75" customHeight="1" x14ac:dyDescent="0.25">
      <c r="A7" s="266"/>
      <c r="B7" s="266"/>
      <c r="C7" s="266"/>
      <c r="D7" s="266"/>
      <c r="E7" s="266"/>
      <c r="F7" s="266"/>
      <c r="G7" s="266"/>
      <c r="H7" s="266"/>
      <c r="I7" s="266"/>
    </row>
    <row r="8" spans="1:9" x14ac:dyDescent="0.25">
      <c r="A8" s="267" t="s">
        <v>31</v>
      </c>
      <c r="B8" s="267"/>
      <c r="C8" s="267"/>
      <c r="D8" s="267"/>
      <c r="E8" s="267"/>
      <c r="F8" s="267"/>
      <c r="G8" s="267"/>
      <c r="H8" s="267"/>
      <c r="I8" s="267"/>
    </row>
    <row r="9" spans="1:9" x14ac:dyDescent="0.25">
      <c r="A9" s="267"/>
      <c r="B9" s="267"/>
      <c r="C9" s="267"/>
      <c r="D9" s="267"/>
      <c r="E9" s="267"/>
      <c r="F9" s="267"/>
      <c r="G9" s="267"/>
      <c r="H9" s="267"/>
      <c r="I9" s="267"/>
    </row>
    <row r="10" spans="1:9" x14ac:dyDescent="0.25">
      <c r="A10" s="267"/>
      <c r="B10" s="267"/>
      <c r="C10" s="267"/>
      <c r="D10" s="267"/>
      <c r="E10" s="267"/>
      <c r="F10" s="267"/>
      <c r="G10" s="267"/>
      <c r="H10" s="267"/>
      <c r="I10" s="267"/>
    </row>
    <row r="11" spans="1:9" x14ac:dyDescent="0.25">
      <c r="A11" s="267"/>
      <c r="B11" s="267"/>
      <c r="C11" s="267"/>
      <c r="D11" s="267"/>
      <c r="E11" s="267"/>
      <c r="F11" s="267"/>
      <c r="G11" s="267"/>
      <c r="H11" s="267"/>
      <c r="I11" s="267"/>
    </row>
    <row r="12" spans="1:9" x14ac:dyDescent="0.25">
      <c r="A12" s="267"/>
      <c r="B12" s="267"/>
      <c r="C12" s="267"/>
      <c r="D12" s="267"/>
      <c r="E12" s="267"/>
      <c r="F12" s="267"/>
      <c r="G12" s="267"/>
      <c r="H12" s="267"/>
      <c r="I12" s="267"/>
    </row>
    <row r="13" spans="1:9" x14ac:dyDescent="0.25">
      <c r="A13" s="267"/>
      <c r="B13" s="267"/>
      <c r="C13" s="267"/>
      <c r="D13" s="267"/>
      <c r="E13" s="267"/>
      <c r="F13" s="267"/>
      <c r="G13" s="267"/>
      <c r="H13" s="267"/>
      <c r="I13" s="267"/>
    </row>
    <row r="14" spans="1:9" x14ac:dyDescent="0.25">
      <c r="A14" s="267"/>
      <c r="B14" s="267"/>
      <c r="C14" s="267"/>
      <c r="D14" s="267"/>
      <c r="E14" s="267"/>
      <c r="F14" s="267"/>
      <c r="G14" s="267"/>
      <c r="H14" s="267"/>
      <c r="I14" s="267"/>
    </row>
    <row r="15" spans="1:9" ht="19.5" customHeight="1" x14ac:dyDescent="0.3">
      <c r="A15" s="52"/>
    </row>
    <row r="16" spans="1:9" ht="19.5" customHeight="1" x14ac:dyDescent="0.3">
      <c r="A16" s="239" t="s">
        <v>32</v>
      </c>
      <c r="B16" s="240"/>
      <c r="C16" s="240"/>
      <c r="D16" s="240"/>
      <c r="E16" s="240"/>
      <c r="F16" s="240"/>
      <c r="G16" s="240"/>
      <c r="H16" s="241"/>
    </row>
    <row r="17" spans="1:14" ht="20.25" customHeight="1" x14ac:dyDescent="0.25">
      <c r="A17" s="242" t="s">
        <v>33</v>
      </c>
      <c r="B17" s="242"/>
      <c r="C17" s="242"/>
      <c r="D17" s="242"/>
      <c r="E17" s="242"/>
      <c r="F17" s="242"/>
      <c r="G17" s="242"/>
      <c r="H17" s="242"/>
    </row>
    <row r="18" spans="1:14" ht="26.25" customHeight="1" x14ac:dyDescent="0.4">
      <c r="A18" s="54" t="s">
        <v>34</v>
      </c>
      <c r="B18" s="238" t="s">
        <v>5</v>
      </c>
      <c r="C18" s="238"/>
      <c r="D18" s="224"/>
      <c r="E18" s="55"/>
      <c r="F18" s="56"/>
      <c r="G18" s="56"/>
      <c r="H18" s="56"/>
    </row>
    <row r="19" spans="1:14" ht="26.25" customHeight="1" x14ac:dyDescent="0.4">
      <c r="A19" s="54" t="s">
        <v>35</v>
      </c>
      <c r="B19" s="57" t="s">
        <v>7</v>
      </c>
      <c r="C19" s="226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36</v>
      </c>
      <c r="B20" s="243" t="s">
        <v>9</v>
      </c>
      <c r="C20" s="243"/>
      <c r="D20" s="56"/>
      <c r="E20" s="56"/>
      <c r="F20" s="56"/>
      <c r="G20" s="56"/>
      <c r="H20" s="56"/>
    </row>
    <row r="21" spans="1:14" ht="26.25" customHeight="1" x14ac:dyDescent="0.4">
      <c r="A21" s="54" t="s">
        <v>37</v>
      </c>
      <c r="B21" s="243" t="s">
        <v>11</v>
      </c>
      <c r="C21" s="243"/>
      <c r="D21" s="243"/>
      <c r="E21" s="243"/>
      <c r="F21" s="243"/>
      <c r="G21" s="243"/>
      <c r="H21" s="243"/>
      <c r="I21" s="58"/>
    </row>
    <row r="22" spans="1:14" ht="26.25" customHeight="1" x14ac:dyDescent="0.4">
      <c r="A22" s="54" t="s">
        <v>38</v>
      </c>
      <c r="B22" s="59">
        <v>42186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39</v>
      </c>
      <c r="B23" s="59">
        <v>42188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38" t="s">
        <v>117</v>
      </c>
      <c r="C26" s="238"/>
    </row>
    <row r="27" spans="1:14" ht="26.25" customHeight="1" x14ac:dyDescent="0.4">
      <c r="A27" s="63" t="s">
        <v>40</v>
      </c>
      <c r="B27" s="244" t="s">
        <v>118</v>
      </c>
      <c r="C27" s="244"/>
    </row>
    <row r="28" spans="1:14" ht="27" customHeight="1" x14ac:dyDescent="0.4">
      <c r="A28" s="63" t="s">
        <v>6</v>
      </c>
      <c r="B28" s="64">
        <v>99.7</v>
      </c>
    </row>
    <row r="29" spans="1:14" s="14" customFormat="1" ht="27" customHeight="1" x14ac:dyDescent="0.4">
      <c r="A29" s="63" t="s">
        <v>41</v>
      </c>
      <c r="B29" s="65"/>
      <c r="C29" s="245" t="s">
        <v>42</v>
      </c>
      <c r="D29" s="246"/>
      <c r="E29" s="246"/>
      <c r="F29" s="246"/>
      <c r="G29" s="247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99.7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70">
        <v>306.2</v>
      </c>
      <c r="C31" s="248" t="s">
        <v>45</v>
      </c>
      <c r="D31" s="249"/>
      <c r="E31" s="249"/>
      <c r="F31" s="249"/>
      <c r="G31" s="249"/>
      <c r="H31" s="250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70">
        <v>342.7</v>
      </c>
      <c r="C32" s="248" t="s">
        <v>47</v>
      </c>
      <c r="D32" s="249"/>
      <c r="E32" s="249"/>
      <c r="F32" s="249"/>
      <c r="G32" s="249"/>
      <c r="H32" s="250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0.8934928508899912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5</v>
      </c>
      <c r="C36" s="53"/>
      <c r="D36" s="251" t="s">
        <v>51</v>
      </c>
      <c r="E36" s="252"/>
      <c r="F36" s="251" t="s">
        <v>52</v>
      </c>
      <c r="G36" s="253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1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20</v>
      </c>
      <c r="C38" s="85">
        <v>1</v>
      </c>
      <c r="D38" s="86">
        <v>62398549</v>
      </c>
      <c r="E38" s="87">
        <f>IF(ISBLANK(D38),"-",$D$48/$D$45*D38)</f>
        <v>56172247.032267198</v>
      </c>
      <c r="F38" s="86">
        <v>39539769</v>
      </c>
      <c r="G38" s="88">
        <f>IF(ISBLANK(F38),"-",$D$48/$F$45*F38)</f>
        <v>55413473.16620402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>
        <v>61777902</v>
      </c>
      <c r="E39" s="92">
        <f>IF(ISBLANK(D39),"-",$D$48/$D$45*D39)</f>
        <v>55613529.928062811</v>
      </c>
      <c r="F39" s="91">
        <v>39357783</v>
      </c>
      <c r="G39" s="93">
        <f>IF(ISBLANK(F39),"-",$D$48/$F$45*F39)</f>
        <v>55158426.751349531</v>
      </c>
      <c r="I39" s="255">
        <f>ABS((F43/D43*D42)-F42)/D42</f>
        <v>8.8386278666909065E-3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>
        <v>62462778</v>
      </c>
      <c r="E40" s="92">
        <f>IF(ISBLANK(D40),"-",$D$48/$D$45*D40)</f>
        <v>56230067.082772471</v>
      </c>
      <c r="F40" s="91">
        <v>39338958</v>
      </c>
      <c r="G40" s="93">
        <f>IF(ISBLANK(F40),"-",$D$48/$F$45*F40)</f>
        <v>55132044.234234832</v>
      </c>
      <c r="I40" s="255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>
        <f>AVERAGE(D38:D41)</f>
        <v>62213076.333333336</v>
      </c>
      <c r="E42" s="102">
        <f>AVERAGE(E38:E41)</f>
        <v>56005281.347700827</v>
      </c>
      <c r="F42" s="101">
        <f>AVERAGE(F38:F41)</f>
        <v>39412170</v>
      </c>
      <c r="G42" s="103">
        <f>AVERAGE(G38:G41)</f>
        <v>55234648.050596125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12.47</v>
      </c>
      <c r="E43" s="94"/>
      <c r="F43" s="106">
        <v>8.01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11.141855850598191</v>
      </c>
      <c r="E44" s="109"/>
      <c r="F44" s="108">
        <f>F43*$B$34</f>
        <v>7.1568777356288296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100</v>
      </c>
      <c r="C45" s="107" t="s">
        <v>69</v>
      </c>
      <c r="D45" s="111">
        <f>D44*$B$30/100</f>
        <v>11.108430283046395</v>
      </c>
      <c r="E45" s="112"/>
      <c r="F45" s="111">
        <f>F44*$B$30/100</f>
        <v>7.1354071024219436</v>
      </c>
      <c r="H45" s="104"/>
    </row>
    <row r="46" spans="1:14" ht="19.5" customHeight="1" x14ac:dyDescent="0.3">
      <c r="A46" s="256" t="s">
        <v>70</v>
      </c>
      <c r="B46" s="257"/>
      <c r="C46" s="107" t="s">
        <v>71</v>
      </c>
      <c r="D46" s="113">
        <f>D45/$B$45</f>
        <v>0.11108430283046396</v>
      </c>
      <c r="E46" s="114"/>
      <c r="F46" s="115">
        <f>F45/$B$45</f>
        <v>7.1354071024219437E-2</v>
      </c>
      <c r="H46" s="104"/>
    </row>
    <row r="47" spans="1:14" ht="27" customHeight="1" x14ac:dyDescent="0.4">
      <c r="A47" s="258"/>
      <c r="B47" s="259"/>
      <c r="C47" s="116" t="s">
        <v>72</v>
      </c>
      <c r="D47" s="117">
        <v>0.1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10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11.19203135205748</v>
      </c>
      <c r="F49" s="120"/>
      <c r="H49" s="104"/>
    </row>
    <row r="50" spans="1:12" ht="18.75" x14ac:dyDescent="0.3">
      <c r="C50" s="76" t="s">
        <v>75</v>
      </c>
      <c r="D50" s="123">
        <f>AVERAGE(E38:E41,G38:G41)</f>
        <v>55619964.699148469</v>
      </c>
      <c r="F50" s="124"/>
      <c r="H50" s="104"/>
    </row>
    <row r="51" spans="1:12" ht="18.75" x14ac:dyDescent="0.3">
      <c r="C51" s="78" t="s">
        <v>76</v>
      </c>
      <c r="D51" s="125">
        <f>STDEV(E38:E41,G38:G41)/D50</f>
        <v>8.7008878917687639E-3</v>
      </c>
      <c r="F51" s="124"/>
      <c r="H51" s="104"/>
    </row>
    <row r="52" spans="1:12" ht="19.5" customHeight="1" x14ac:dyDescent="0.3">
      <c r="C52" s="126" t="s">
        <v>19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Each film coated tablet contains Sertraline Hydrochloride equivalent to Sertraline 50 mg</v>
      </c>
    </row>
    <row r="56" spans="1:12" ht="26.25" customHeight="1" x14ac:dyDescent="0.4">
      <c r="A56" s="131" t="s">
        <v>79</v>
      </c>
      <c r="B56" s="132">
        <v>50</v>
      </c>
      <c r="C56" s="53" t="str">
        <f>B20</f>
        <v>Sertraline 50 mg</v>
      </c>
      <c r="H56" s="133"/>
    </row>
    <row r="57" spans="1:12" ht="18.75" x14ac:dyDescent="0.3">
      <c r="A57" s="130" t="s">
        <v>80</v>
      </c>
      <c r="B57" s="225">
        <f>Uniformity!C46</f>
        <v>155.82800000000003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100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4</v>
      </c>
      <c r="C60" s="260" t="s">
        <v>86</v>
      </c>
      <c r="D60" s="263">
        <v>155.94999999999999</v>
      </c>
      <c r="E60" s="136">
        <v>1</v>
      </c>
      <c r="F60" s="137">
        <v>58857448</v>
      </c>
      <c r="G60" s="227">
        <f>IF(ISBLANK(F60),"-",(F60/$D$50*$D$47*$B$68)*($B$57/$D$60))</f>
        <v>52.86896891939697</v>
      </c>
      <c r="H60" s="138">
        <f t="shared" ref="H60:H71" si="0">IF(ISBLANK(F60),"-",G60/$B$56)</f>
        <v>1.0573793783879395</v>
      </c>
      <c r="L60" s="66"/>
    </row>
    <row r="61" spans="1:12" s="14" customFormat="1" ht="26.25" customHeight="1" x14ac:dyDescent="0.4">
      <c r="A61" s="78" t="s">
        <v>87</v>
      </c>
      <c r="B61" s="79">
        <v>20</v>
      </c>
      <c r="C61" s="261"/>
      <c r="D61" s="264"/>
      <c r="E61" s="139">
        <v>2</v>
      </c>
      <c r="F61" s="91">
        <v>59587219</v>
      </c>
      <c r="G61" s="228">
        <f>IF(ISBLANK(F61),"-",(F61/$D$50*$D$47*$B$68)*($B$57/$D$60))</f>
        <v>53.52448902141154</v>
      </c>
      <c r="H61" s="140">
        <f t="shared" si="0"/>
        <v>1.0704897804282307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261"/>
      <c r="D62" s="264"/>
      <c r="E62" s="139">
        <v>3</v>
      </c>
      <c r="F62" s="141">
        <v>58652622</v>
      </c>
      <c r="G62" s="228">
        <f>IF(ISBLANK(F62),"-",(F62/$D$50*$D$47*$B$68)*($B$57/$D$60))</f>
        <v>52.68498303832574</v>
      </c>
      <c r="H62" s="140">
        <f t="shared" si="0"/>
        <v>1.0536996607665148</v>
      </c>
      <c r="L62" s="66"/>
    </row>
    <row r="63" spans="1:12" ht="27" customHeight="1" x14ac:dyDescent="0.4">
      <c r="A63" s="78" t="s">
        <v>89</v>
      </c>
      <c r="B63" s="79">
        <v>1</v>
      </c>
      <c r="C63" s="262"/>
      <c r="D63" s="265"/>
      <c r="E63" s="142">
        <v>4</v>
      </c>
      <c r="F63" s="143"/>
      <c r="G63" s="228"/>
      <c r="H63" s="140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260" t="s">
        <v>91</v>
      </c>
      <c r="D64" s="263">
        <v>156.68</v>
      </c>
      <c r="E64" s="136">
        <v>1</v>
      </c>
      <c r="F64" s="137">
        <v>58956277</v>
      </c>
      <c r="G64" s="229">
        <f>IF(ISBLANK(F64),"-",(F64/$D$50*$D$47*$B$68)*($B$57/$D$64))</f>
        <v>52.711002969916251</v>
      </c>
      <c r="H64" s="144">
        <f t="shared" si="0"/>
        <v>1.0542200593983251</v>
      </c>
    </row>
    <row r="65" spans="1:8" ht="26.25" customHeight="1" x14ac:dyDescent="0.4">
      <c r="A65" s="78" t="s">
        <v>92</v>
      </c>
      <c r="B65" s="79">
        <v>1</v>
      </c>
      <c r="C65" s="261"/>
      <c r="D65" s="264"/>
      <c r="E65" s="139">
        <v>2</v>
      </c>
      <c r="F65" s="91">
        <v>58107822</v>
      </c>
      <c r="G65" s="230">
        <f>IF(ISBLANK(F65),"-",(F65/$D$50*$D$47*$B$68)*($B$57/$D$64))</f>
        <v>51.952425320502599</v>
      </c>
      <c r="H65" s="145">
        <f t="shared" si="0"/>
        <v>1.0390485064100519</v>
      </c>
    </row>
    <row r="66" spans="1:8" ht="26.25" customHeight="1" x14ac:dyDescent="0.4">
      <c r="A66" s="78" t="s">
        <v>93</v>
      </c>
      <c r="B66" s="79">
        <v>1</v>
      </c>
      <c r="C66" s="261"/>
      <c r="D66" s="264"/>
      <c r="E66" s="139">
        <v>3</v>
      </c>
      <c r="F66" s="91">
        <v>58553756</v>
      </c>
      <c r="G66" s="230">
        <f>IF(ISBLANK(F66),"-",(F66/$D$50*$D$47*$B$68)*($B$57/$D$64))</f>
        <v>52.351121262554479</v>
      </c>
      <c r="H66" s="145">
        <f t="shared" si="0"/>
        <v>1.0470224252510896</v>
      </c>
    </row>
    <row r="67" spans="1:8" ht="27" customHeight="1" x14ac:dyDescent="0.4">
      <c r="A67" s="78" t="s">
        <v>94</v>
      </c>
      <c r="B67" s="79">
        <v>1</v>
      </c>
      <c r="C67" s="262"/>
      <c r="D67" s="265"/>
      <c r="E67" s="142">
        <v>4</v>
      </c>
      <c r="F67" s="143"/>
      <c r="G67" s="231"/>
      <c r="H67" s="146" t="str">
        <f t="shared" si="0"/>
        <v>-</v>
      </c>
    </row>
    <row r="68" spans="1:8" ht="26.25" customHeight="1" x14ac:dyDescent="0.4">
      <c r="A68" s="78" t="s">
        <v>95</v>
      </c>
      <c r="B68" s="147">
        <f>(B67/B66)*(B65/B64)*(B63/B62)*(B61/B60)*B59</f>
        <v>500</v>
      </c>
      <c r="C68" s="260" t="s">
        <v>96</v>
      </c>
      <c r="D68" s="263">
        <v>156.38</v>
      </c>
      <c r="E68" s="136">
        <v>1</v>
      </c>
      <c r="F68" s="137">
        <v>58523589</v>
      </c>
      <c r="G68" s="229">
        <f>IF(ISBLANK(F68),"-",(F68/$D$50*$D$47*$B$68)*($B$57/$D$68))</f>
        <v>52.42452872363144</v>
      </c>
      <c r="H68" s="140">
        <f t="shared" si="0"/>
        <v>1.0484905744726287</v>
      </c>
    </row>
    <row r="69" spans="1:8" ht="27" customHeight="1" x14ac:dyDescent="0.4">
      <c r="A69" s="126" t="s">
        <v>97</v>
      </c>
      <c r="B69" s="148">
        <f>(D47*B68)/B56*B57</f>
        <v>155.82800000000003</v>
      </c>
      <c r="C69" s="261"/>
      <c r="D69" s="264"/>
      <c r="E69" s="139">
        <v>2</v>
      </c>
      <c r="F69" s="91">
        <v>58529249</v>
      </c>
      <c r="G69" s="230">
        <f>IF(ISBLANK(F69),"-",(F69/$D$50*$D$47*$B$68)*($B$57/$D$68))</f>
        <v>52.429598864366923</v>
      </c>
      <c r="H69" s="140">
        <f t="shared" si="0"/>
        <v>1.0485919772873384</v>
      </c>
    </row>
    <row r="70" spans="1:8" ht="26.25" customHeight="1" x14ac:dyDescent="0.4">
      <c r="A70" s="273" t="s">
        <v>70</v>
      </c>
      <c r="B70" s="274"/>
      <c r="C70" s="261"/>
      <c r="D70" s="264"/>
      <c r="E70" s="139">
        <v>3</v>
      </c>
      <c r="F70" s="91">
        <v>58562757</v>
      </c>
      <c r="G70" s="230">
        <f>IF(ISBLANK(F70),"-",(F70/$D$50*$D$47*$B$68)*($B$57/$D$68))</f>
        <v>52.459614814148658</v>
      </c>
      <c r="H70" s="140">
        <f t="shared" si="0"/>
        <v>1.0491922962829732</v>
      </c>
    </row>
    <row r="71" spans="1:8" ht="27" customHeight="1" x14ac:dyDescent="0.4">
      <c r="A71" s="275"/>
      <c r="B71" s="276"/>
      <c r="C71" s="272"/>
      <c r="D71" s="265"/>
      <c r="E71" s="142">
        <v>4</v>
      </c>
      <c r="F71" s="143"/>
      <c r="G71" s="231"/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1"/>
      <c r="G72" s="152" t="s">
        <v>63</v>
      </c>
      <c r="H72" s="153">
        <f>AVERAGE(H60:H71)</f>
        <v>1.0520149620761212</v>
      </c>
    </row>
    <row r="73" spans="1:8" ht="26.25" customHeight="1" x14ac:dyDescent="0.4">
      <c r="C73" s="150"/>
      <c r="D73" s="150"/>
      <c r="E73" s="150"/>
      <c r="F73" s="151"/>
      <c r="G73" s="154" t="s">
        <v>76</v>
      </c>
      <c r="H73" s="232">
        <f>STDEV(H60:H71)/H72</f>
        <v>8.2523204617593882E-3</v>
      </c>
    </row>
    <row r="74" spans="1:8" ht="27" customHeight="1" x14ac:dyDescent="0.4">
      <c r="A74" s="150"/>
      <c r="B74" s="150"/>
      <c r="C74" s="151"/>
      <c r="D74" s="151"/>
      <c r="E74" s="155"/>
      <c r="F74" s="151"/>
      <c r="G74" s="156" t="s">
        <v>19</v>
      </c>
      <c r="H74" s="157">
        <f>COUNT(H60:H71)</f>
        <v>9</v>
      </c>
    </row>
    <row r="76" spans="1:8" ht="26.25" customHeight="1" x14ac:dyDescent="0.4">
      <c r="A76" s="62" t="s">
        <v>98</v>
      </c>
      <c r="B76" s="158" t="s">
        <v>99</v>
      </c>
      <c r="C76" s="268" t="str">
        <f>B20</f>
        <v>Sertraline 50 mg</v>
      </c>
      <c r="D76" s="268"/>
      <c r="E76" s="159" t="s">
        <v>100</v>
      </c>
      <c r="F76" s="159"/>
      <c r="G76" s="160">
        <f>H72</f>
        <v>1.0520149620761212</v>
      </c>
      <c r="H76" s="161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54" t="str">
        <f>B26</f>
        <v>Sertraline HCl</v>
      </c>
      <c r="C79" s="254"/>
    </row>
    <row r="80" spans="1:8" ht="26.25" customHeight="1" x14ac:dyDescent="0.4">
      <c r="A80" s="63" t="s">
        <v>40</v>
      </c>
      <c r="B80" s="254" t="str">
        <f>B27</f>
        <v>S38 1</v>
      </c>
      <c r="C80" s="254"/>
    </row>
    <row r="81" spans="1:12" ht="27" customHeight="1" x14ac:dyDescent="0.4">
      <c r="A81" s="63" t="s">
        <v>6</v>
      </c>
      <c r="B81" s="162">
        <f>B28</f>
        <v>99.7</v>
      </c>
    </row>
    <row r="82" spans="1:12" s="14" customFormat="1" ht="27" customHeight="1" x14ac:dyDescent="0.4">
      <c r="A82" s="63" t="s">
        <v>41</v>
      </c>
      <c r="B82" s="65">
        <v>0</v>
      </c>
      <c r="C82" s="245" t="s">
        <v>42</v>
      </c>
      <c r="D82" s="246"/>
      <c r="E82" s="246"/>
      <c r="F82" s="246"/>
      <c r="G82" s="247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99.7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>
        <v>306.2</v>
      </c>
      <c r="C84" s="248" t="s">
        <v>103</v>
      </c>
      <c r="D84" s="249"/>
      <c r="E84" s="249"/>
      <c r="F84" s="249"/>
      <c r="G84" s="249"/>
      <c r="H84" s="250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>
        <v>342.7</v>
      </c>
      <c r="C85" s="248" t="s">
        <v>104</v>
      </c>
      <c r="D85" s="249"/>
      <c r="E85" s="249"/>
      <c r="F85" s="249"/>
      <c r="G85" s="249"/>
      <c r="H85" s="250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>
        <f>B84/B85</f>
        <v>0.8934928508899912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5</v>
      </c>
      <c r="D89" s="163" t="s">
        <v>51</v>
      </c>
      <c r="E89" s="164"/>
      <c r="F89" s="251" t="s">
        <v>52</v>
      </c>
      <c r="G89" s="253"/>
    </row>
    <row r="90" spans="1:12" ht="27" customHeight="1" x14ac:dyDescent="0.4">
      <c r="A90" s="78" t="s">
        <v>53</v>
      </c>
      <c r="B90" s="79">
        <v>3</v>
      </c>
      <c r="C90" s="165" t="s">
        <v>54</v>
      </c>
      <c r="D90" s="81" t="s">
        <v>55</v>
      </c>
      <c r="E90" s="82" t="s">
        <v>56</v>
      </c>
      <c r="F90" s="81" t="s">
        <v>55</v>
      </c>
      <c r="G90" s="166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100</v>
      </c>
      <c r="C91" s="167">
        <v>1</v>
      </c>
      <c r="D91" s="86">
        <v>27236736</v>
      </c>
      <c r="E91" s="87">
        <f>IF(ISBLANK(D91),"-",$D$101/$D$98*D91)</f>
        <v>22702757.59707414</v>
      </c>
      <c r="F91" s="86">
        <v>16890204</v>
      </c>
      <c r="G91" s="88">
        <f>IF(ISBLANK(F91),"-",$D$101/$F$98*F91)</f>
        <v>21917569.03746875</v>
      </c>
      <c r="I91" s="89"/>
    </row>
    <row r="92" spans="1:12" ht="26.25" customHeight="1" x14ac:dyDescent="0.4">
      <c r="A92" s="78" t="s">
        <v>59</v>
      </c>
      <c r="B92" s="79">
        <v>1</v>
      </c>
      <c r="C92" s="151">
        <v>2</v>
      </c>
      <c r="D92" s="91">
        <v>27117153</v>
      </c>
      <c r="E92" s="92">
        <f>IF(ISBLANK(D92),"-",$D$101/$D$98*D92)</f>
        <v>22603081.047661945</v>
      </c>
      <c r="F92" s="91">
        <v>17322303</v>
      </c>
      <c r="G92" s="93">
        <f>IF(ISBLANK(F92),"-",$D$101/$F$98*F92)</f>
        <v>22478282.197802469</v>
      </c>
      <c r="I92" s="255">
        <f>ABS((F96/D96*D95)-F95)/D95</f>
        <v>1.5641930297096342E-2</v>
      </c>
    </row>
    <row r="93" spans="1:12" ht="26.25" customHeight="1" x14ac:dyDescent="0.4">
      <c r="A93" s="78" t="s">
        <v>60</v>
      </c>
      <c r="B93" s="79">
        <v>1</v>
      </c>
      <c r="C93" s="151">
        <v>3</v>
      </c>
      <c r="D93" s="91">
        <v>27133343</v>
      </c>
      <c r="E93" s="92">
        <f>IF(ISBLANK(D93),"-",$D$101/$D$98*D93)</f>
        <v>22616575.970309675</v>
      </c>
      <c r="F93" s="91">
        <v>16855516</v>
      </c>
      <c r="G93" s="93">
        <f>IF(ISBLANK(F93),"-",$D$101/$F$98*F93)</f>
        <v>21872556.16285979</v>
      </c>
      <c r="I93" s="255"/>
    </row>
    <row r="94" spans="1:12" ht="27" customHeight="1" x14ac:dyDescent="0.4">
      <c r="A94" s="78" t="s">
        <v>61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169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70" t="s">
        <v>63</v>
      </c>
      <c r="D95" s="171">
        <f>AVERAGE(D91:D94)</f>
        <v>27162410.666666668</v>
      </c>
      <c r="E95" s="102">
        <f>AVERAGE(E91:E94)</f>
        <v>22640804.871681917</v>
      </c>
      <c r="F95" s="172">
        <f>AVERAGE(F91:F94)</f>
        <v>17022674.333333332</v>
      </c>
      <c r="G95" s="173">
        <f>AVERAGE(G91:G94)</f>
        <v>22089469.132710334</v>
      </c>
    </row>
    <row r="96" spans="1:12" ht="26.25" customHeight="1" x14ac:dyDescent="0.4">
      <c r="A96" s="78" t="s">
        <v>64</v>
      </c>
      <c r="B96" s="64">
        <v>1</v>
      </c>
      <c r="C96" s="174" t="s">
        <v>105</v>
      </c>
      <c r="D96" s="175">
        <v>12.47</v>
      </c>
      <c r="E96" s="94"/>
      <c r="F96" s="106">
        <v>8.01</v>
      </c>
    </row>
    <row r="97" spans="1:10" ht="26.25" customHeight="1" x14ac:dyDescent="0.4">
      <c r="A97" s="78" t="s">
        <v>66</v>
      </c>
      <c r="B97" s="64">
        <v>1</v>
      </c>
      <c r="C97" s="176" t="s">
        <v>106</v>
      </c>
      <c r="D97" s="177">
        <f>D96*$B$87</f>
        <v>11.141855850598191</v>
      </c>
      <c r="E97" s="109"/>
      <c r="F97" s="108">
        <f>F96*$B$87</f>
        <v>7.1568777356288296</v>
      </c>
    </row>
    <row r="98" spans="1:10" ht="19.5" customHeight="1" x14ac:dyDescent="0.3">
      <c r="A98" s="78" t="s">
        <v>68</v>
      </c>
      <c r="B98" s="178">
        <f>(B97/B96)*(B95/B94)*(B93/B92)*(B91/B90)*B89</f>
        <v>166.66666666666669</v>
      </c>
      <c r="C98" s="176" t="s">
        <v>107</v>
      </c>
      <c r="D98" s="179">
        <f>D97*$B$83/100</f>
        <v>11.108430283046395</v>
      </c>
      <c r="E98" s="112"/>
      <c r="F98" s="111">
        <f>F97*$B$83/100</f>
        <v>7.1354071024219436</v>
      </c>
    </row>
    <row r="99" spans="1:10" ht="19.5" customHeight="1" x14ac:dyDescent="0.3">
      <c r="A99" s="256" t="s">
        <v>70</v>
      </c>
      <c r="B99" s="270"/>
      <c r="C99" s="176" t="s">
        <v>108</v>
      </c>
      <c r="D99" s="180">
        <f>D98/$B$98</f>
        <v>6.6650581698278366E-2</v>
      </c>
      <c r="E99" s="112"/>
      <c r="F99" s="115">
        <f>F98/$B$98</f>
        <v>4.2812442614531654E-2</v>
      </c>
      <c r="G99" s="181"/>
      <c r="H99" s="104"/>
    </row>
    <row r="100" spans="1:10" ht="19.5" customHeight="1" x14ac:dyDescent="0.3">
      <c r="A100" s="258"/>
      <c r="B100" s="271"/>
      <c r="C100" s="176" t="s">
        <v>72</v>
      </c>
      <c r="D100" s="182">
        <f>$B$56/$B$116</f>
        <v>5.5555555555555552E-2</v>
      </c>
      <c r="F100" s="120"/>
      <c r="G100" s="183"/>
      <c r="H100" s="104"/>
    </row>
    <row r="101" spans="1:10" ht="18.75" x14ac:dyDescent="0.3">
      <c r="C101" s="176" t="s">
        <v>73</v>
      </c>
      <c r="D101" s="177">
        <f>D100*$B$98</f>
        <v>9.2592592592592595</v>
      </c>
      <c r="F101" s="120"/>
      <c r="G101" s="181"/>
      <c r="H101" s="104"/>
    </row>
    <row r="102" spans="1:10" ht="19.5" customHeight="1" x14ac:dyDescent="0.3">
      <c r="C102" s="184" t="s">
        <v>74</v>
      </c>
      <c r="D102" s="185">
        <f>D101/B34</f>
        <v>10.362991992645815</v>
      </c>
      <c r="F102" s="124"/>
      <c r="G102" s="181"/>
      <c r="H102" s="104"/>
      <c r="J102" s="186"/>
    </row>
    <row r="103" spans="1:10" ht="18.75" x14ac:dyDescent="0.3">
      <c r="C103" s="187" t="s">
        <v>109</v>
      </c>
      <c r="D103" s="188">
        <f>AVERAGE(E91:E94,G91:G94)</f>
        <v>22365137.002196129</v>
      </c>
      <c r="F103" s="124"/>
      <c r="G103" s="189"/>
      <c r="H103" s="104"/>
      <c r="J103" s="190"/>
    </row>
    <row r="104" spans="1:10" ht="18.75" x14ac:dyDescent="0.3">
      <c r="C104" s="154" t="s">
        <v>76</v>
      </c>
      <c r="D104" s="191">
        <f>STDEV(E91:E94,G91:G94)/D103</f>
        <v>1.660489759472419E-2</v>
      </c>
      <c r="F104" s="124"/>
      <c r="G104" s="181"/>
      <c r="H104" s="104"/>
      <c r="J104" s="190"/>
    </row>
    <row r="105" spans="1:10" ht="19.5" customHeight="1" x14ac:dyDescent="0.3">
      <c r="C105" s="156" t="s">
        <v>19</v>
      </c>
      <c r="D105" s="192">
        <f>COUNT(E91:E94,G91:G94)</f>
        <v>6</v>
      </c>
      <c r="F105" s="124"/>
      <c r="G105" s="181"/>
      <c r="H105" s="104"/>
      <c r="J105" s="190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110</v>
      </c>
      <c r="B107" s="77">
        <v>900</v>
      </c>
      <c r="C107" s="193" t="s">
        <v>111</v>
      </c>
      <c r="D107" s="194" t="s">
        <v>55</v>
      </c>
      <c r="E107" s="195" t="s">
        <v>112</v>
      </c>
      <c r="F107" s="196" t="s">
        <v>113</v>
      </c>
    </row>
    <row r="108" spans="1:10" ht="26.25" customHeight="1" x14ac:dyDescent="0.4">
      <c r="A108" s="78" t="s">
        <v>114</v>
      </c>
      <c r="B108" s="79">
        <v>1</v>
      </c>
      <c r="C108" s="197">
        <v>1</v>
      </c>
      <c r="D108" s="198">
        <v>22885829</v>
      </c>
      <c r="E108" s="233">
        <f>IF(ISBLANK(D108),"-",D108/$D$103*$D$100*$B$116)</f>
        <v>51.164070664429062</v>
      </c>
      <c r="F108" s="199">
        <f>IF(ISBLANK(D108), "-", E108/$B$56)</f>
        <v>1.0232814132885812</v>
      </c>
    </row>
    <row r="109" spans="1:10" ht="26.25" customHeight="1" x14ac:dyDescent="0.4">
      <c r="A109" s="78" t="s">
        <v>87</v>
      </c>
      <c r="B109" s="79">
        <v>1</v>
      </c>
      <c r="C109" s="197">
        <v>2</v>
      </c>
      <c r="D109" s="198">
        <v>23334486</v>
      </c>
      <c r="E109" s="234">
        <f t="shared" ref="E108:E113" si="1">IF(ISBLANK(D109),"-",D109/$D$103*$D$100*$B$116)</f>
        <v>52.167098278245923</v>
      </c>
      <c r="F109" s="200">
        <f t="shared" ref="F108:F113" si="2">IF(ISBLANK(D109), "-", E109/$B$56)</f>
        <v>1.0433419655649185</v>
      </c>
    </row>
    <row r="110" spans="1:10" ht="26.25" customHeight="1" x14ac:dyDescent="0.4">
      <c r="A110" s="78" t="s">
        <v>88</v>
      </c>
      <c r="B110" s="79">
        <v>1</v>
      </c>
      <c r="C110" s="197">
        <v>3</v>
      </c>
      <c r="D110" s="198">
        <v>22500975</v>
      </c>
      <c r="E110" s="234">
        <f t="shared" si="1"/>
        <v>50.303682463001529</v>
      </c>
      <c r="F110" s="200">
        <f>IF(ISBLANK(D110), "-", E110/$B$56)</f>
        <v>1.0060736492600306</v>
      </c>
    </row>
    <row r="111" spans="1:10" ht="26.25" customHeight="1" x14ac:dyDescent="0.4">
      <c r="A111" s="78" t="s">
        <v>89</v>
      </c>
      <c r="B111" s="79">
        <v>1</v>
      </c>
      <c r="C111" s="197">
        <v>4</v>
      </c>
      <c r="D111" s="198">
        <v>22617790</v>
      </c>
      <c r="E111" s="234">
        <f t="shared" si="1"/>
        <v>50.56483668707029</v>
      </c>
      <c r="F111" s="200">
        <f t="shared" si="2"/>
        <v>1.0112967337414058</v>
      </c>
    </row>
    <row r="112" spans="1:10" ht="26.25" customHeight="1" x14ac:dyDescent="0.4">
      <c r="A112" s="78" t="s">
        <v>90</v>
      </c>
      <c r="B112" s="79">
        <v>1</v>
      </c>
      <c r="C112" s="197">
        <v>5</v>
      </c>
      <c r="D112" s="198">
        <v>23192595</v>
      </c>
      <c r="E112" s="234">
        <f t="shared" si="1"/>
        <v>51.849883588288812</v>
      </c>
      <c r="F112" s="200">
        <f>IF(ISBLANK(D112), "-", E112/$B$56)</f>
        <v>1.0369976717657763</v>
      </c>
    </row>
    <row r="113" spans="1:10" ht="26.25" customHeight="1" x14ac:dyDescent="0.4">
      <c r="A113" s="78" t="s">
        <v>92</v>
      </c>
      <c r="B113" s="79">
        <v>1</v>
      </c>
      <c r="C113" s="201">
        <v>6</v>
      </c>
      <c r="D113" s="202">
        <v>23114411</v>
      </c>
      <c r="E113" s="235">
        <f t="shared" si="1"/>
        <v>51.675093690976034</v>
      </c>
      <c r="F113" s="203">
        <f t="shared" si="2"/>
        <v>1.0335018738195207</v>
      </c>
    </row>
    <row r="114" spans="1:10" ht="26.25" customHeight="1" x14ac:dyDescent="0.4">
      <c r="A114" s="78" t="s">
        <v>93</v>
      </c>
      <c r="B114" s="79">
        <v>1</v>
      </c>
      <c r="C114" s="197"/>
      <c r="D114" s="151"/>
      <c r="E114" s="52"/>
      <c r="F114" s="204"/>
    </row>
    <row r="115" spans="1:10" ht="26.25" customHeight="1" x14ac:dyDescent="0.4">
      <c r="A115" s="78" t="s">
        <v>94</v>
      </c>
      <c r="B115" s="79">
        <v>1</v>
      </c>
      <c r="C115" s="197"/>
      <c r="D115" s="205"/>
      <c r="E115" s="206" t="s">
        <v>63</v>
      </c>
      <c r="F115" s="207">
        <f>AVERAGE(F108:F113)</f>
        <v>1.0257488845733722</v>
      </c>
    </row>
    <row r="116" spans="1:10" ht="27" customHeight="1" x14ac:dyDescent="0.4">
      <c r="A116" s="78" t="s">
        <v>95</v>
      </c>
      <c r="B116" s="110">
        <f>(B115/B114)*(B113/B112)*(B111/B110)*(B109/B108)*B107</f>
        <v>900</v>
      </c>
      <c r="C116" s="208"/>
      <c r="D116" s="209"/>
      <c r="E116" s="170" t="s">
        <v>76</v>
      </c>
      <c r="F116" s="210">
        <f>STDEV(F108:F113)/F115</f>
        <v>1.4448418175166199E-2</v>
      </c>
      <c r="I116" s="52"/>
    </row>
    <row r="117" spans="1:10" ht="27" customHeight="1" x14ac:dyDescent="0.4">
      <c r="A117" s="256" t="s">
        <v>70</v>
      </c>
      <c r="B117" s="257"/>
      <c r="C117" s="211"/>
      <c r="D117" s="212"/>
      <c r="E117" s="213" t="s">
        <v>19</v>
      </c>
      <c r="F117" s="214">
        <f>COUNT(F108:F113)</f>
        <v>6</v>
      </c>
      <c r="I117" s="52"/>
      <c r="J117" s="190"/>
    </row>
    <row r="118" spans="1:10" ht="19.5" customHeight="1" x14ac:dyDescent="0.3">
      <c r="A118" s="258"/>
      <c r="B118" s="259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3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98</v>
      </c>
      <c r="B120" s="158" t="s">
        <v>115</v>
      </c>
      <c r="C120" s="268" t="str">
        <f>B20</f>
        <v>Sertraline 50 mg</v>
      </c>
      <c r="D120" s="268"/>
      <c r="E120" s="159" t="s">
        <v>116</v>
      </c>
      <c r="F120" s="159"/>
      <c r="G120" s="160">
        <f>F115</f>
        <v>1.0257488845733722</v>
      </c>
      <c r="H120" s="52"/>
      <c r="I120" s="52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269" t="s">
        <v>25</v>
      </c>
      <c r="C122" s="269"/>
      <c r="E122" s="165" t="s">
        <v>26</v>
      </c>
      <c r="F122" s="217"/>
      <c r="G122" s="269" t="s">
        <v>27</v>
      </c>
      <c r="H122" s="269"/>
    </row>
    <row r="123" spans="1:10" ht="69.95" customHeight="1" x14ac:dyDescent="0.3">
      <c r="A123" s="218" t="s">
        <v>28</v>
      </c>
      <c r="B123" s="219"/>
      <c r="C123" s="219"/>
      <c r="E123" s="219"/>
      <c r="F123" s="52"/>
      <c r="G123" s="220"/>
      <c r="H123" s="220"/>
    </row>
    <row r="124" spans="1:10" ht="69.95" customHeight="1" x14ac:dyDescent="0.3">
      <c r="A124" s="218" t="s">
        <v>29</v>
      </c>
      <c r="B124" s="221"/>
      <c r="C124" s="221"/>
      <c r="E124" s="221"/>
      <c r="F124" s="52"/>
      <c r="G124" s="222"/>
      <c r="H124" s="222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  <rowBreaks count="1" manualBreakCount="1">
    <brk id="126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9:I30"/>
  <sheetViews>
    <sheetView workbookViewId="0">
      <selection activeCell="H30" sqref="H30"/>
    </sheetView>
  </sheetViews>
  <sheetFormatPr defaultRowHeight="12.75" x14ac:dyDescent="0.2"/>
  <sheetData>
    <row r="29" spans="8:9" x14ac:dyDescent="0.2">
      <c r="I29">
        <f>50/100*4/20</f>
        <v>0.1</v>
      </c>
    </row>
    <row r="30" spans="8:9" x14ac:dyDescent="0.2">
      <c r="H30">
        <f>50/900</f>
        <v>5.5555555555555552E-2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Uniformity</vt:lpstr>
      <vt:lpstr>SST</vt:lpstr>
      <vt:lpstr>Sertraline</vt:lpstr>
      <vt:lpstr>Sheet2</vt:lpstr>
      <vt:lpstr>Sertraline!Print_Area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2015-07-03T23:09:48Z</cp:lastPrinted>
  <dcterms:created xsi:type="dcterms:W3CDTF">2005-07-05T10:19:27Z</dcterms:created>
  <dcterms:modified xsi:type="dcterms:W3CDTF">2015-07-03T23:38:45Z</dcterms:modified>
</cp:coreProperties>
</file>