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Dapotexine" sheetId="3" r:id="rId3"/>
    <sheet name="Sheet1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68" i="3" l="1"/>
  <c r="B98" i="3" l="1"/>
  <c r="F80" i="3"/>
  <c r="B87" i="3"/>
  <c r="B45" i="3"/>
  <c r="G41" i="3" l="1"/>
  <c r="E41" i="3"/>
  <c r="I22" i="4" l="1"/>
  <c r="B34" i="3"/>
  <c r="D44" i="3"/>
  <c r="B30" i="3"/>
  <c r="C120" i="3"/>
  <c r="B116" i="3"/>
  <c r="D100" i="3" s="1"/>
  <c r="F95" i="3"/>
  <c r="D95" i="3"/>
  <c r="D97" i="3"/>
  <c r="B83" i="3"/>
  <c r="B81" i="3"/>
  <c r="B80" i="3"/>
  <c r="B79" i="3"/>
  <c r="C76" i="3"/>
  <c r="B68" i="3"/>
  <c r="C56" i="3"/>
  <c r="B55" i="3"/>
  <c r="D48" i="3"/>
  <c r="F42" i="3"/>
  <c r="D42" i="3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57" i="3" l="1"/>
  <c r="D24" i="2"/>
  <c r="D35" i="2"/>
  <c r="D25" i="2"/>
  <c r="B69" i="3"/>
  <c r="D27" i="2"/>
  <c r="D32" i="2"/>
  <c r="D37" i="2"/>
  <c r="D43" i="2"/>
  <c r="D49" i="2"/>
  <c r="D29" i="2"/>
  <c r="D40" i="2"/>
  <c r="D31" i="2"/>
  <c r="D36" i="2"/>
  <c r="D41" i="2"/>
  <c r="C49" i="2"/>
  <c r="D28" i="2"/>
  <c r="D33" i="2"/>
  <c r="D39" i="2"/>
  <c r="I92" i="3"/>
  <c r="D101" i="3"/>
  <c r="F97" i="3"/>
  <c r="F98" i="3" s="1"/>
  <c r="I39" i="3"/>
  <c r="F44" i="3"/>
  <c r="F45" i="3" s="1"/>
  <c r="G38" i="3" s="1"/>
  <c r="D98" i="3"/>
  <c r="D99" i="3" s="1"/>
  <c r="D45" i="3"/>
  <c r="D49" i="3"/>
  <c r="C50" i="2"/>
  <c r="D26" i="2"/>
  <c r="D30" i="2"/>
  <c r="D34" i="2"/>
  <c r="D38" i="2"/>
  <c r="D42" i="2"/>
  <c r="B49" i="2"/>
  <c r="G91" i="3" l="1"/>
  <c r="E91" i="3"/>
  <c r="E94" i="3"/>
  <c r="E93" i="3"/>
  <c r="D102" i="3"/>
  <c r="E92" i="3"/>
  <c r="F99" i="3"/>
  <c r="G92" i="3"/>
  <c r="G94" i="3"/>
  <c r="G93" i="3"/>
  <c r="D46" i="3"/>
  <c r="E38" i="3"/>
  <c r="F46" i="3"/>
  <c r="G40" i="3"/>
  <c r="G39" i="3"/>
  <c r="E40" i="3"/>
  <c r="E39" i="3"/>
  <c r="E95" i="3" l="1"/>
  <c r="G95" i="3"/>
  <c r="D103" i="3"/>
  <c r="D105" i="3"/>
  <c r="D52" i="3"/>
  <c r="G42" i="3"/>
  <c r="D50" i="3"/>
  <c r="G60" i="3" s="1"/>
  <c r="H60" i="3" s="1"/>
  <c r="E42" i="3"/>
  <c r="E112" i="3" l="1"/>
  <c r="F112" i="3" s="1"/>
  <c r="E108" i="3"/>
  <c r="F108" i="3" s="1"/>
  <c r="E110" i="3"/>
  <c r="F110" i="3" s="1"/>
  <c r="E111" i="3"/>
  <c r="F111" i="3" s="1"/>
  <c r="E113" i="3"/>
  <c r="F113" i="3" s="1"/>
  <c r="D104" i="3"/>
  <c r="E109" i="3"/>
  <c r="F109" i="3" s="1"/>
  <c r="G70" i="3"/>
  <c r="H70" i="3" s="1"/>
  <c r="G64" i="3"/>
  <c r="H64" i="3" s="1"/>
  <c r="G63" i="3"/>
  <c r="H63" i="3" s="1"/>
  <c r="G68" i="3"/>
  <c r="G61" i="3"/>
  <c r="H61" i="3" s="1"/>
  <c r="G66" i="3"/>
  <c r="H66" i="3" s="1"/>
  <c r="G65" i="3"/>
  <c r="H65" i="3" s="1"/>
  <c r="G67" i="3"/>
  <c r="H67" i="3" s="1"/>
  <c r="G69" i="3"/>
  <c r="H69" i="3" s="1"/>
  <c r="D51" i="3"/>
  <c r="G62" i="3"/>
  <c r="H62" i="3" s="1"/>
  <c r="G71" i="3"/>
  <c r="H71" i="3" s="1"/>
  <c r="F117" i="3" l="1"/>
  <c r="F115" i="3"/>
  <c r="G120" i="3" s="1"/>
  <c r="H72" i="3"/>
  <c r="G76" i="3" s="1"/>
  <c r="H74" i="3"/>
  <c r="F116" i="3" l="1"/>
  <c r="H73" i="3"/>
</calcChain>
</file>

<file path=xl/sharedStrings.xml><?xml version="1.0" encoding="utf-8"?>
<sst xmlns="http://schemas.openxmlformats.org/spreadsheetml/2006/main" count="233" uniqueCount="132">
  <si>
    <t>HPLC System Suitability Report</t>
  </si>
  <si>
    <t>Analysis Data</t>
  </si>
  <si>
    <t>Assay</t>
  </si>
  <si>
    <t>Sample(s)</t>
  </si>
  <si>
    <t>Reference Substance:</t>
  </si>
  <si>
    <t>LONGRIDE 60</t>
  </si>
  <si>
    <t>% age Purity:</t>
  </si>
  <si>
    <t>NDQD201504175</t>
  </si>
  <si>
    <t>Weight (mg):</t>
  </si>
  <si>
    <t>Dapoxetine 60 mg</t>
  </si>
  <si>
    <t>Standard Conc (mg/mL):</t>
  </si>
  <si>
    <t>Each film coated tablet contains Dapoxetine hydrochloride equivalent to Dapoxetine 60 mg</t>
  </si>
  <si>
    <t>2015-04-15 09:43:25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</si>
  <si>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</si>
  <si>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</si>
  <si>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</si>
  <si>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</si>
  <si>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</si>
  <si>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</si>
  <si>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</si>
  <si>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</si>
  <si>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</si>
  <si>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</si>
  <si>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</si>
  <si>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</si>
  <si>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</si>
  <si>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</si>
  <si>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</si>
  <si>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</si>
  <si>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</si>
  <si>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</si>
  <si>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</si>
  <si>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</si>
  <si>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</si>
  <si>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</si>
  <si>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</si>
  <si>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</si>
  <si>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</si>
  <si>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</si>
  <si>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</si>
  <si>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</si>
  <si>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</si>
  <si>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</si>
  <si>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</si>
  <si>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</si>
  <si>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</si>
  <si>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</si>
  <si>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</si>
  <si>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</si>
  <si>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</si>
  <si>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</si>
  <si>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</si>
  <si>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</si>
  <si>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</si>
  <si>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</si>
  <si>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</si>
  <si>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</si>
  <si>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</si>
  <si>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</si>
  <si>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</si>
  <si>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</si>
  <si>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</si>
  <si>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</si>
  <si>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</si>
  <si>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</si>
  <si>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</si>
  <si>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</si>
  <si>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</si>
  <si>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</si>
  <si>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</si>
  <si>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</si>
  <si>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</si>
  <si>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</si>
  <si>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</si>
  <si>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</si>
  <si>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</si>
  <si>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</si>
  <si>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</si>
  <si>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</si>
  <si>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</si>
  <si>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</si>
  <si>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</si>
  <si>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</si>
  <si>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</si>
  <si>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</si>
  <si>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</si>
  <si>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</si>
  <si>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</si>
  <si>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</si>
  <si>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</si>
  <si>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</si>
  <si>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</si>
  <si>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</si>
  <si>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</si>
  <si>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</si>
  <si>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</si>
  <si>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</si>
  <si>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</si>
  <si>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</si>
  <si>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</si>
  <si>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</si>
  <si>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</si>
  <si>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</si>
  <si>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</si>
  <si>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</si>
  <si>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</si>
  <si>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</si>
  <si>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</si>
  <si>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</si>
  <si>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</si>
  <si>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</si>
  <si>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</si>
  <si>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</si>
  <si>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</si>
  <si>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</si>
  <si>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</si>
  <si>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</si>
  <si>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</si>
  <si>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</si>
  <si>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</si>
  <si>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</si>
  <si>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</si>
  <si>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</si>
  <si>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</si>
  <si>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</si>
  <si>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Dapotexine Hyrochloride</t>
  </si>
  <si>
    <t>D26 1</t>
  </si>
  <si>
    <t>Dapoxetine</t>
  </si>
  <si>
    <t xml:space="preserve">   </t>
  </si>
  <si>
    <t>LONGRIDE 30</t>
  </si>
  <si>
    <t>NDQD201504176</t>
  </si>
  <si>
    <t>Each film coated tablet contains Dapoxetine hydrochloride equivalent to Dapoxetine 30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</si>
</sst>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E20" sqref="E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281081532</v>
      </c>
      <c r="C24" s="18">
        <v>4962.5</v>
      </c>
      <c r="D24" s="19">
        <v>1.2</v>
      </c>
      <c r="E24" s="20">
        <v>3.3</v>
      </c>
    </row>
    <row r="25" spans="1:6" ht="16.5" customHeight="1" x14ac:dyDescent="0.3">
      <c r="A25" s="17">
        <v>2</v>
      </c>
      <c r="B25" s="18">
        <v>283190196</v>
      </c>
      <c r="C25" s="18">
        <v>4984.3999999999996</v>
      </c>
      <c r="D25" s="19">
        <v>1.3</v>
      </c>
      <c r="E25" s="19">
        <v>3.3</v>
      </c>
    </row>
    <row r="26" spans="1:6" ht="16.5" customHeight="1" x14ac:dyDescent="0.3">
      <c r="A26" s="17">
        <v>3</v>
      </c>
      <c r="B26" s="18">
        <v>281667246</v>
      </c>
      <c r="C26" s="18">
        <v>4987.8</v>
      </c>
      <c r="D26" s="19">
        <v>1.3</v>
      </c>
      <c r="E26" s="19">
        <v>3.3</v>
      </c>
    </row>
    <row r="27" spans="1:6" ht="16.5" customHeight="1" x14ac:dyDescent="0.3">
      <c r="A27" s="17">
        <v>4</v>
      </c>
      <c r="B27" s="18">
        <v>281644692</v>
      </c>
      <c r="C27" s="18">
        <v>4962.6000000000004</v>
      </c>
      <c r="D27" s="19">
        <v>1.3</v>
      </c>
      <c r="E27" s="19">
        <v>3.3</v>
      </c>
    </row>
    <row r="28" spans="1:6" ht="16.5" customHeight="1" x14ac:dyDescent="0.3">
      <c r="A28" s="17">
        <v>5</v>
      </c>
      <c r="B28" s="18">
        <v>282154552</v>
      </c>
      <c r="C28" s="18">
        <v>1894.7</v>
      </c>
      <c r="D28" s="19">
        <v>1.2</v>
      </c>
      <c r="E28" s="19">
        <v>3.3</v>
      </c>
    </row>
    <row r="29" spans="1:6" ht="16.5" customHeight="1" x14ac:dyDescent="0.3">
      <c r="A29" s="17">
        <v>6</v>
      </c>
      <c r="B29" s="21">
        <v>282778740</v>
      </c>
      <c r="C29" s="21">
        <v>4926.8999999999996</v>
      </c>
      <c r="D29" s="22">
        <v>1.2</v>
      </c>
      <c r="E29" s="22">
        <v>3.3</v>
      </c>
    </row>
    <row r="30" spans="1:6" ht="16.5" customHeight="1" x14ac:dyDescent="0.3">
      <c r="A30" s="23" t="s">
        <v>18</v>
      </c>
      <c r="B30" s="24">
        <f>AVERAGE(B24:B29)</f>
        <v>282086159.66666669</v>
      </c>
      <c r="C30" s="25">
        <f>AVERAGE(C24:C29)</f>
        <v>4453.1500000000005</v>
      </c>
      <c r="D30" s="26">
        <f>AVERAGE(D24:D29)</f>
        <v>1.25</v>
      </c>
      <c r="E30" s="26">
        <f>AVERAGE(E24:E29)</f>
        <v>3.3000000000000003</v>
      </c>
    </row>
    <row r="31" spans="1:6" ht="16.5" customHeight="1" x14ac:dyDescent="0.3">
      <c r="A31" s="27" t="s">
        <v>19</v>
      </c>
      <c r="B31" s="28">
        <f>(STDEV(B24:B29)/B30)</f>
        <v>2.783639329906557E-3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106.34</v>
      </c>
      <c r="D24" s="87">
        <f t="shared" ref="D24:D43" si="0">(C24-$C$46)/$C$46</f>
        <v>2.6794766571718441E-2</v>
      </c>
      <c r="E24" s="53"/>
    </row>
    <row r="25" spans="1:5" ht="15.75" customHeight="1" x14ac:dyDescent="0.3">
      <c r="C25" s="95">
        <v>100.82</v>
      </c>
      <c r="D25" s="88">
        <f t="shared" si="0"/>
        <v>-2.6505093419591473E-2</v>
      </c>
      <c r="E25" s="53"/>
    </row>
    <row r="26" spans="1:5" ht="15.75" customHeight="1" x14ac:dyDescent="0.3">
      <c r="C26" s="95">
        <v>106.38</v>
      </c>
      <c r="D26" s="88">
        <f t="shared" si="0"/>
        <v>2.7180997441220611E-2</v>
      </c>
      <c r="E26" s="53"/>
    </row>
    <row r="27" spans="1:5" ht="15.75" customHeight="1" x14ac:dyDescent="0.3">
      <c r="C27" s="95">
        <v>102.62</v>
      </c>
      <c r="D27" s="88">
        <f t="shared" si="0"/>
        <v>-9.1247042919903355E-3</v>
      </c>
      <c r="E27" s="53"/>
    </row>
    <row r="28" spans="1:5" ht="15.75" customHeight="1" x14ac:dyDescent="0.3">
      <c r="C28" s="95">
        <v>106.39</v>
      </c>
      <c r="D28" s="88">
        <f t="shared" si="0"/>
        <v>2.7277555158596221E-2</v>
      </c>
      <c r="E28" s="53"/>
    </row>
    <row r="29" spans="1:5" ht="15.75" customHeight="1" x14ac:dyDescent="0.3">
      <c r="C29" s="95">
        <v>106.65</v>
      </c>
      <c r="D29" s="88">
        <f t="shared" si="0"/>
        <v>2.9788055810360863E-2</v>
      </c>
      <c r="E29" s="53"/>
    </row>
    <row r="30" spans="1:5" ht="15.75" customHeight="1" x14ac:dyDescent="0.3">
      <c r="C30" s="95">
        <v>106.67</v>
      </c>
      <c r="D30" s="88">
        <f t="shared" si="0"/>
        <v>2.9981171245111946E-2</v>
      </c>
      <c r="E30" s="53"/>
    </row>
    <row r="31" spans="1:5" ht="15.75" customHeight="1" x14ac:dyDescent="0.3">
      <c r="C31" s="95">
        <v>104.38</v>
      </c>
      <c r="D31" s="88">
        <f t="shared" si="0"/>
        <v>7.8694539661083585E-3</v>
      </c>
      <c r="E31" s="53"/>
    </row>
    <row r="32" spans="1:5" ht="15.75" customHeight="1" x14ac:dyDescent="0.3">
      <c r="C32" s="95">
        <v>103.36</v>
      </c>
      <c r="D32" s="88">
        <f t="shared" si="0"/>
        <v>-1.9794332061988519E-3</v>
      </c>
      <c r="E32" s="53"/>
    </row>
    <row r="33" spans="1:7" ht="15.75" customHeight="1" x14ac:dyDescent="0.3">
      <c r="C33" s="95">
        <v>103.12</v>
      </c>
      <c r="D33" s="88">
        <f t="shared" si="0"/>
        <v>-4.2968184232122725E-3</v>
      </c>
      <c r="E33" s="53"/>
    </row>
    <row r="34" spans="1:7" ht="15.75" customHeight="1" x14ac:dyDescent="0.3">
      <c r="C34" s="95">
        <v>94.16</v>
      </c>
      <c r="D34" s="88">
        <f t="shared" si="0"/>
        <v>-9.0812533191715242E-2</v>
      </c>
      <c r="E34" s="53"/>
    </row>
    <row r="35" spans="1:7" ht="15.75" customHeight="1" x14ac:dyDescent="0.3">
      <c r="C35" s="95">
        <v>104.72</v>
      </c>
      <c r="D35" s="88">
        <f t="shared" si="0"/>
        <v>1.1152416356877474E-2</v>
      </c>
      <c r="E35" s="53"/>
    </row>
    <row r="36" spans="1:7" ht="15.75" customHeight="1" x14ac:dyDescent="0.3">
      <c r="C36" s="95">
        <v>102.09</v>
      </c>
      <c r="D36" s="88">
        <f t="shared" si="0"/>
        <v>-1.4242263312895093E-2</v>
      </c>
      <c r="E36" s="53"/>
    </row>
    <row r="37" spans="1:7" ht="15.75" customHeight="1" x14ac:dyDescent="0.3">
      <c r="C37" s="95">
        <v>103.36</v>
      </c>
      <c r="D37" s="88">
        <f t="shared" si="0"/>
        <v>-1.9794332061988519E-3</v>
      </c>
      <c r="E37" s="53"/>
    </row>
    <row r="38" spans="1:7" ht="15.75" customHeight="1" x14ac:dyDescent="0.3">
      <c r="C38" s="95">
        <v>104.72</v>
      </c>
      <c r="D38" s="88">
        <f t="shared" si="0"/>
        <v>1.1152416356877474E-2</v>
      </c>
      <c r="E38" s="53"/>
    </row>
    <row r="39" spans="1:7" ht="15.75" customHeight="1" x14ac:dyDescent="0.3">
      <c r="C39" s="95">
        <v>105.2</v>
      </c>
      <c r="D39" s="88">
        <f t="shared" si="0"/>
        <v>1.5787186790904451E-2</v>
      </c>
      <c r="E39" s="53"/>
    </row>
    <row r="40" spans="1:7" ht="15.75" customHeight="1" x14ac:dyDescent="0.3">
      <c r="C40" s="95">
        <v>105.62</v>
      </c>
      <c r="D40" s="88">
        <f t="shared" si="0"/>
        <v>1.9842610920678041E-2</v>
      </c>
      <c r="E40" s="53"/>
    </row>
    <row r="41" spans="1:7" ht="15.75" customHeight="1" x14ac:dyDescent="0.3">
      <c r="C41" s="95">
        <v>95.96</v>
      </c>
      <c r="D41" s="88">
        <f t="shared" si="0"/>
        <v>-7.3432144064114233E-2</v>
      </c>
      <c r="E41" s="53"/>
    </row>
    <row r="42" spans="1:7" ht="15.75" customHeight="1" x14ac:dyDescent="0.3">
      <c r="C42" s="95">
        <v>103.08</v>
      </c>
      <c r="D42" s="88">
        <f t="shared" si="0"/>
        <v>-4.6830492927145782E-3</v>
      </c>
      <c r="E42" s="53"/>
    </row>
    <row r="43" spans="1:7" ht="16.5" customHeight="1" x14ac:dyDescent="0.3">
      <c r="C43" s="96">
        <v>105.66</v>
      </c>
      <c r="D43" s="89">
        <f t="shared" si="0"/>
        <v>2.022884179018021E-2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2071.2999999999997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103.56499999999998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103.56499999999998</v>
      </c>
      <c r="C49" s="93">
        <f>-IF(C46&lt;=80,10%,IF(C46&lt;250,7.5%,5%))</f>
        <v>-7.4999999999999997E-2</v>
      </c>
      <c r="D49" s="81">
        <f>IF(C46&lt;=80,C46*0.9,IF(C46&lt;250,C46*0.925,C46*0.95))</f>
        <v>95.797624999999982</v>
      </c>
    </row>
    <row r="50" spans="1:6" ht="17.25" customHeight="1" x14ac:dyDescent="0.3">
      <c r="B50" s="284"/>
      <c r="C50" s="94">
        <f>IF(C46&lt;=80, 10%, IF(C46&lt;250, 7.5%, 5%))</f>
        <v>7.4999999999999997E-2</v>
      </c>
      <c r="D50" s="81">
        <f>IF(C46&lt;=80, C46*1.1, IF(C46&lt;250, C46*1.075, C46*1.05))</f>
        <v>111.33237499999998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Layout" topLeftCell="A97" zoomScale="50" zoomScaleNormal="40" zoomScalePageLayoutView="50" workbookViewId="0">
      <selection activeCell="H65" sqref="H6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129</v>
      </c>
      <c r="C18" s="324"/>
      <c r="D18" s="269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130</v>
      </c>
      <c r="C19" s="271">
        <v>21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127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131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125</v>
      </c>
      <c r="C26" s="324"/>
    </row>
    <row r="27" spans="1:14" ht="26.25" customHeight="1" x14ac:dyDescent="0.4">
      <c r="A27" s="109" t="s">
        <v>48</v>
      </c>
      <c r="B27" s="322" t="s">
        <v>126</v>
      </c>
      <c r="C27" s="322"/>
    </row>
    <row r="28" spans="1:14" ht="27" customHeight="1" x14ac:dyDescent="0.4">
      <c r="A28" s="109" t="s">
        <v>6</v>
      </c>
      <c r="B28" s="110">
        <v>100.27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100.27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305.41300000000001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341.87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0.89336004914148659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3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282180855</v>
      </c>
      <c r="E38" s="133">
        <f>IF(ISBLANK(D38),"-",$D$48/$D$45*D38)</f>
        <v>262511755.96480477</v>
      </c>
      <c r="F38" s="132">
        <v>233558635</v>
      </c>
      <c r="G38" s="134">
        <f>IF(ISBLANK(F38),"-",$D$48/$F$45*F38)</f>
        <v>260734431.73000336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281163792</v>
      </c>
      <c r="E39" s="138">
        <f>IF(ISBLANK(D39),"-",$D$48/$D$45*D39)</f>
        <v>261565586.19699103</v>
      </c>
      <c r="F39" s="137">
        <v>232905413</v>
      </c>
      <c r="G39" s="139">
        <f>IF(ISBLANK(F39),"-",$D$48/$F$45*F39)</f>
        <v>260005203.85554031</v>
      </c>
      <c r="I39" s="307">
        <f>ABS((F43/D43*D42)-F42)/D42</f>
        <v>5.9223316314075906E-3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281236279</v>
      </c>
      <c r="E40" s="138">
        <f>IF(ISBLANK(D40),"-",$D$48/$D$45*D40)</f>
        <v>261633020.57220623</v>
      </c>
      <c r="F40" s="137">
        <v>232351502</v>
      </c>
      <c r="G40" s="139">
        <f>IF(ISBLANK(F40),"-",$D$48/$F$45*F40)</f>
        <v>259386842.34724498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281526975.33333331</v>
      </c>
      <c r="E42" s="148">
        <f>AVERAGE(E38:E41)</f>
        <v>261903454.24466732</v>
      </c>
      <c r="F42" s="147">
        <f>AVERAGE(F38:F41)</f>
        <v>232938516.66666666</v>
      </c>
      <c r="G42" s="149">
        <f>AVERAGE(G38:G41)</f>
        <v>260042159.31092954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12</v>
      </c>
      <c r="E43" s="140"/>
      <c r="F43" s="152">
        <v>10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10.720320589697838</v>
      </c>
      <c r="E44" s="155"/>
      <c r="F44" s="154">
        <f>F43*$B$34</f>
        <v>8.9336004914148663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166.66666666666669</v>
      </c>
      <c r="C45" s="153" t="s">
        <v>77</v>
      </c>
      <c r="D45" s="157">
        <f>D44*$B$30/100</f>
        <v>10.749265455290022</v>
      </c>
      <c r="E45" s="158"/>
      <c r="F45" s="157">
        <f>F44*$B$30/100</f>
        <v>8.9577212127416868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6.4495592731740131E-2</v>
      </c>
      <c r="E46" s="160"/>
      <c r="F46" s="161">
        <f>F45/$B$45</f>
        <v>5.3746327276450116E-2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0.06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11.193695094838791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260972806.77779844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4.423714500317164E-3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 Dapoxetine hydrochloride equivalent to Dapoxetine 30 mg</v>
      </c>
    </row>
    <row r="56" spans="1:12" ht="26.25" customHeight="1" x14ac:dyDescent="0.4">
      <c r="A56" s="177" t="s">
        <v>87</v>
      </c>
      <c r="B56" s="178">
        <v>30</v>
      </c>
      <c r="C56" s="99" t="str">
        <f>B20</f>
        <v>Dapoxetine</v>
      </c>
      <c r="H56" s="179"/>
    </row>
    <row r="57" spans="1:12" ht="18.75" x14ac:dyDescent="0.3">
      <c r="A57" s="176" t="s">
        <v>88</v>
      </c>
      <c r="B57" s="270">
        <f>Uniformity!C46</f>
        <v>103.56499999999998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0" t="s">
        <v>94</v>
      </c>
      <c r="D60" s="313">
        <v>101.93</v>
      </c>
      <c r="E60" s="182">
        <v>1</v>
      </c>
      <c r="F60" s="183">
        <v>263806096</v>
      </c>
      <c r="G60" s="272">
        <f>IF(ISBLANK(F60),"-",(F60/$D$50*$D$47*$B$68)*($B$57/$D$60))</f>
        <v>30.812136313403307</v>
      </c>
      <c r="H60" s="184">
        <f>IF(ISBLANK(F60),"-",G60/$B$56)</f>
        <v>1.027071210446777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1"/>
      <c r="D61" s="314"/>
      <c r="E61" s="185">
        <v>2</v>
      </c>
      <c r="F61" s="137">
        <v>264459153</v>
      </c>
      <c r="G61" s="273">
        <f>IF(ISBLANK(F61),"-",(F61/$D$50*$D$47*$B$68)*($B$57/$D$60))</f>
        <v>30.888412341931556</v>
      </c>
      <c r="H61" s="186">
        <f t="shared" ref="H61:H71" si="0">IF(ISBLANK(F61),"-",G61/$B$56)</f>
        <v>1.0296137447310518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265092876</v>
      </c>
      <c r="G62" s="273">
        <f>IF(ISBLANK(F62),"-",(F62/$D$50*$D$47*$B$68)*($B$57/$D$60))</f>
        <v>30.962430189725872</v>
      </c>
      <c r="H62" s="186">
        <f t="shared" si="0"/>
        <v>1.0320810063241956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3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102.77</v>
      </c>
      <c r="E64" s="182">
        <v>1</v>
      </c>
      <c r="F64" s="183">
        <v>262962320</v>
      </c>
      <c r="G64" s="274">
        <f>IF(ISBLANK(F64),"-",(F64/$D$50*$D$47*$B$68)*($B$57/$D$64))</f>
        <v>30.462544311672001</v>
      </c>
      <c r="H64" s="190">
        <f>IF(ISBLANK(F64),"-",G64/$B$56)</f>
        <v>1.0154181437224001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265076994</v>
      </c>
      <c r="G65" s="275">
        <f>IF(ISBLANK(F65),"-",(F65/$D$50*$D$47*$B$68)*($B$57/$D$64))</f>
        <v>30.707516102420346</v>
      </c>
      <c r="H65" s="191">
        <f t="shared" si="0"/>
        <v>1.0235838700806783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265787294</v>
      </c>
      <c r="G66" s="275">
        <f>IF(ISBLANK(F66),"-",(F66/$D$50*$D$47*$B$68)*($B$57/$D$64))</f>
        <v>30.789799926295114</v>
      </c>
      <c r="H66" s="191">
        <f t="shared" si="0"/>
        <v>1.0263266642098372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6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500</v>
      </c>
      <c r="C68" s="310" t="s">
        <v>104</v>
      </c>
      <c r="D68" s="313">
        <v>96.06</v>
      </c>
      <c r="E68" s="182">
        <v>1</v>
      </c>
      <c r="F68" s="183"/>
      <c r="G68" s="274" t="str">
        <f>IF(ISBLANK(F68),"-",(F68/$D$50*$D$47*$B$68)*($B$57/$D$68))</f>
        <v>-</v>
      </c>
      <c r="H68" s="186" t="str">
        <f>IF(ISBLANK(F68),"-",G68/$B$56)</f>
        <v>-</v>
      </c>
    </row>
    <row r="69" spans="1:8" ht="27" customHeight="1" x14ac:dyDescent="0.4">
      <c r="A69" s="172" t="s">
        <v>105</v>
      </c>
      <c r="B69" s="194">
        <f>(D47*B68)/B56*B57</f>
        <v>103.56499999999998</v>
      </c>
      <c r="C69" s="311"/>
      <c r="D69" s="314"/>
      <c r="E69" s="185">
        <v>2</v>
      </c>
      <c r="F69" s="137"/>
      <c r="G69" s="275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/>
      <c r="G70" s="275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6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1.0256824399191566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7">
        <f>STDEV(H60:H71)/H72</f>
        <v>5.6598171877447305E-3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>Dapoxetine</v>
      </c>
      <c r="D76" s="297"/>
      <c r="E76" s="205" t="s">
        <v>108</v>
      </c>
      <c r="F76" s="205"/>
      <c r="G76" s="206">
        <f>H72</f>
        <v>1.0256824399191566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Dapotexine Hyrochloride</v>
      </c>
      <c r="C79" s="320"/>
    </row>
    <row r="80" spans="1:8" ht="26.25" customHeight="1" x14ac:dyDescent="0.4">
      <c r="A80" s="109" t="s">
        <v>48</v>
      </c>
      <c r="B80" s="320" t="str">
        <f>B27</f>
        <v>D26 1</v>
      </c>
      <c r="C80" s="320"/>
      <c r="F80" s="2">
        <f>30/900</f>
        <v>3.3333333333333333E-2</v>
      </c>
    </row>
    <row r="81" spans="1:12" ht="27" customHeight="1" x14ac:dyDescent="0.4">
      <c r="A81" s="109" t="s">
        <v>6</v>
      </c>
      <c r="B81" s="208">
        <f>B28</f>
        <v>100.27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100.27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305.41000000000003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341.87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0.89335127387603486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 t="s">
        <v>128</v>
      </c>
    </row>
    <row r="89" spans="1:12" ht="27" customHeight="1" x14ac:dyDescent="0.4">
      <c r="A89" s="122" t="s">
        <v>58</v>
      </c>
      <c r="B89" s="123">
        <v>10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282180855</v>
      </c>
      <c r="E91" s="133">
        <f>IF(ISBLANK(D91),"-",$D$101/$D$98*D91)</f>
        <v>145841296.98961854</v>
      </c>
      <c r="F91" s="132">
        <v>233558635</v>
      </c>
      <c r="G91" s="134">
        <f>IF(ISBLANK(F91),"-",$D$101/$F$98*F91)</f>
        <v>144853884.93783498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281163792</v>
      </c>
      <c r="E92" s="138">
        <f>IF(ISBLANK(D92),"-",$D$101/$D$98*D92)</f>
        <v>145315641.95522523</v>
      </c>
      <c r="F92" s="137">
        <v>232905413</v>
      </c>
      <c r="G92" s="139">
        <f>IF(ISBLANK(F92),"-",$D$101/$F$98*F92)</f>
        <v>144448754.36140877</v>
      </c>
      <c r="I92" s="307">
        <f>ABS((F96/D96*D95)-F95)/D95</f>
        <v>5.9223316314075906E-3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281236279</v>
      </c>
      <c r="E93" s="138">
        <f>IF(ISBLANK(D93),"-",$D$101/$D$98*D93)</f>
        <v>145353105.86501065</v>
      </c>
      <c r="F93" s="137">
        <v>232351502</v>
      </c>
      <c r="G93" s="139">
        <f>IF(ISBLANK(F93),"-",$D$101/$F$98*F93)</f>
        <v>144105216.81564516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142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281526975.33333331</v>
      </c>
      <c r="E95" s="148">
        <f>AVERAGE(E91:E94)</f>
        <v>145503348.26995146</v>
      </c>
      <c r="F95" s="217">
        <f>AVERAGE(F91:F94)</f>
        <v>232938516.66666666</v>
      </c>
      <c r="G95" s="218">
        <f>AVERAGE(G91:G94)</f>
        <v>144469285.37162963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v>12</v>
      </c>
      <c r="E96" s="140"/>
      <c r="F96" s="152">
        <v>10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10.720215286512419</v>
      </c>
      <c r="E97" s="155"/>
      <c r="F97" s="154">
        <f>F96*$B$87</f>
        <v>8.9335127387603492</v>
      </c>
    </row>
    <row r="98" spans="1:10" ht="19.5" customHeight="1" x14ac:dyDescent="0.3">
      <c r="A98" s="124" t="s">
        <v>76</v>
      </c>
      <c r="B98" s="223">
        <f>(B97/B96)*(B95/B94)*(B93/B92)*(B91/B90)*B89</f>
        <v>166.66666666666669</v>
      </c>
      <c r="C98" s="221" t="s">
        <v>115</v>
      </c>
      <c r="D98" s="224">
        <f>D97*$B$83/100</f>
        <v>10.749159867786002</v>
      </c>
      <c r="E98" s="158"/>
      <c r="F98" s="157">
        <f>F97*$B$83/100</f>
        <v>8.9576332231550015</v>
      </c>
    </row>
    <row r="99" spans="1:10" ht="19.5" customHeight="1" x14ac:dyDescent="0.3">
      <c r="A99" s="293" t="s">
        <v>78</v>
      </c>
      <c r="B99" s="308"/>
      <c r="C99" s="221" t="s">
        <v>116</v>
      </c>
      <c r="D99" s="225">
        <f>D98/$B$98</f>
        <v>6.449495920671601E-2</v>
      </c>
      <c r="E99" s="158"/>
      <c r="F99" s="161">
        <f>F98/$B$98</f>
        <v>5.3745799338930006E-2</v>
      </c>
      <c r="G99" s="226"/>
      <c r="H99" s="150"/>
    </row>
    <row r="100" spans="1:10" ht="19.5" customHeight="1" x14ac:dyDescent="0.3">
      <c r="A100" s="295"/>
      <c r="B100" s="309"/>
      <c r="C100" s="221" t="s">
        <v>80</v>
      </c>
      <c r="D100" s="227">
        <f>$B$56/$B$116</f>
        <v>3.3333333333333333E-2</v>
      </c>
      <c r="F100" s="166"/>
      <c r="G100" s="228"/>
      <c r="H100" s="150"/>
    </row>
    <row r="101" spans="1:10" ht="18.75" x14ac:dyDescent="0.3">
      <c r="C101" s="221" t="s">
        <v>81</v>
      </c>
      <c r="D101" s="222">
        <f>D100*$B$98</f>
        <v>5.5555555555555562</v>
      </c>
      <c r="F101" s="166"/>
      <c r="G101" s="226"/>
      <c r="H101" s="150"/>
    </row>
    <row r="102" spans="1:10" ht="19.5" customHeight="1" x14ac:dyDescent="0.3">
      <c r="C102" s="229" t="s">
        <v>82</v>
      </c>
      <c r="D102" s="230">
        <f>D101/B34</f>
        <v>6.2187194971326623</v>
      </c>
      <c r="F102" s="170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144986316.82079056</v>
      </c>
      <c r="F103" s="170"/>
      <c r="G103" s="234"/>
      <c r="H103" s="150"/>
      <c r="J103" s="235"/>
    </row>
    <row r="104" spans="1:10" ht="18.75" x14ac:dyDescent="0.3">
      <c r="C104" s="200" t="s">
        <v>84</v>
      </c>
      <c r="D104" s="236">
        <f>STDEV(E91:E94,G91:G94)/D103</f>
        <v>4.4237145003171059E-3</v>
      </c>
      <c r="F104" s="170"/>
      <c r="G104" s="226"/>
      <c r="H104" s="150"/>
      <c r="J104" s="235"/>
    </row>
    <row r="105" spans="1:10" ht="19.5" customHeight="1" x14ac:dyDescent="0.3">
      <c r="C105" s="202" t="s">
        <v>20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</v>
      </c>
      <c r="C108" s="242">
        <v>1</v>
      </c>
      <c r="D108" s="243">
        <v>277691812</v>
      </c>
      <c r="E108" s="278">
        <f>IF(ISBLANK(D108),"-",D108/$D$103*$D$100*$B$116)</f>
        <v>57.458900554713573</v>
      </c>
      <c r="F108" s="244">
        <f>IF(ISBLANK(D108), "-", E108/$B$56)</f>
        <v>1.9152966851571191</v>
      </c>
    </row>
    <row r="109" spans="1:10" ht="26.25" customHeight="1" x14ac:dyDescent="0.4">
      <c r="A109" s="124" t="s">
        <v>95</v>
      </c>
      <c r="B109" s="125">
        <v>1</v>
      </c>
      <c r="C109" s="242">
        <v>2</v>
      </c>
      <c r="D109" s="243">
        <v>277720257</v>
      </c>
      <c r="E109" s="279">
        <f t="shared" ref="E109:E113" si="1">IF(ISBLANK(D109),"-",D109/$D$103*$D$100*$B$116)</f>
        <v>57.464786282544381</v>
      </c>
      <c r="F109" s="245">
        <f t="shared" ref="F109:F113" si="2">IF(ISBLANK(D109), "-", E109/$B$56)</f>
        <v>1.9154928760848127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278366517</v>
      </c>
      <c r="E110" s="279">
        <f t="shared" si="1"/>
        <v>57.598507866933382</v>
      </c>
      <c r="F110" s="245">
        <f>IF(ISBLANK(D110), "-", E110/$B$56)</f>
        <v>1.9199502622311126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278301556</v>
      </c>
      <c r="E111" s="279">
        <f t="shared" si="1"/>
        <v>57.585066391608436</v>
      </c>
      <c r="F111" s="245">
        <f t="shared" si="2"/>
        <v>1.9195022130536146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279237286</v>
      </c>
      <c r="E112" s="279">
        <f t="shared" si="1"/>
        <v>57.778683973015781</v>
      </c>
      <c r="F112" s="245">
        <f>IF(ISBLANK(D112), "-", E112/$B$56)</f>
        <v>1.9259561324338594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280325314</v>
      </c>
      <c r="E113" s="280">
        <f t="shared" si="1"/>
        <v>58.003814459228117</v>
      </c>
      <c r="F113" s="248">
        <f t="shared" si="2"/>
        <v>1.9334604819742707</v>
      </c>
    </row>
    <row r="114" spans="1:10" ht="26.25" customHeight="1" x14ac:dyDescent="0.4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/>
      <c r="E115" s="251" t="s">
        <v>71</v>
      </c>
      <c r="F115" s="252">
        <f>AVERAGE(F108:F113)</f>
        <v>1.9216097751557981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54"/>
      <c r="E116" s="215" t="s">
        <v>84</v>
      </c>
      <c r="F116" s="255">
        <f>STDEV(F108:F113)/F115</f>
        <v>3.6338279754002108E-3</v>
      </c>
      <c r="I116" s="98"/>
    </row>
    <row r="117" spans="1:10" ht="27" customHeight="1" x14ac:dyDescent="0.4">
      <c r="A117" s="293" t="s">
        <v>78</v>
      </c>
      <c r="B117" s="294"/>
      <c r="C117" s="256"/>
      <c r="D117" s="257"/>
      <c r="E117" s="258" t="s">
        <v>20</v>
      </c>
      <c r="F117" s="259">
        <f>COUNT(F108:F113)</f>
        <v>6</v>
      </c>
      <c r="I117" s="98"/>
      <c r="J117" s="235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8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>Dapoxetine</v>
      </c>
      <c r="D120" s="297"/>
      <c r="E120" s="205" t="s">
        <v>124</v>
      </c>
      <c r="F120" s="205"/>
      <c r="G120" s="206">
        <f>F115</f>
        <v>1.9216097751557981</v>
      </c>
      <c r="H120" s="98"/>
      <c r="I120" s="98"/>
    </row>
    <row r="121" spans="1:10" ht="19.5" customHeight="1" x14ac:dyDescent="0.3">
      <c r="A121" s="260"/>
      <c r="B121" s="260"/>
      <c r="C121" s="261"/>
      <c r="D121" s="261"/>
      <c r="E121" s="261"/>
      <c r="F121" s="261"/>
      <c r="G121" s="261"/>
      <c r="H121" s="261"/>
    </row>
    <row r="122" spans="1:10" ht="18.75" x14ac:dyDescent="0.3">
      <c r="B122" s="298" t="s">
        <v>26</v>
      </c>
      <c r="C122" s="298"/>
      <c r="E122" s="211" t="s">
        <v>27</v>
      </c>
      <c r="F122" s="262"/>
      <c r="G122" s="298" t="s">
        <v>28</v>
      </c>
      <c r="H122" s="298"/>
    </row>
    <row r="123" spans="1:10" ht="69.95" customHeight="1" x14ac:dyDescent="0.3">
      <c r="A123" s="263" t="s">
        <v>29</v>
      </c>
      <c r="B123" s="264"/>
      <c r="C123" s="264"/>
      <c r="E123" s="264"/>
      <c r="F123" s="98"/>
      <c r="G123" s="265"/>
      <c r="H123" s="265"/>
    </row>
    <row r="124" spans="1:10" ht="69.95" customHeight="1" x14ac:dyDescent="0.3">
      <c r="A124" s="263" t="s">
        <v>30</v>
      </c>
      <c r="B124" s="266"/>
      <c r="C124" s="266"/>
      <c r="E124" s="266"/>
      <c r="F124" s="98"/>
      <c r="G124" s="267"/>
      <c r="H124" s="267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2"/>
  <sheetViews>
    <sheetView workbookViewId="0">
      <selection activeCell="I23" sqref="I23"/>
    </sheetView>
  </sheetViews>
  <sheetFormatPr defaultRowHeight="12.75" x14ac:dyDescent="0.2"/>
  <sheetData>
    <row r="22" spans="9:9" x14ac:dyDescent="0.2">
      <c r="I22">
        <f>30/50*5/50</f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Dapotexine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2015-09-30T10:51:55Z</cp:lastPrinted>
  <dcterms:created xsi:type="dcterms:W3CDTF">2005-07-05T10:19:27Z</dcterms:created>
  <dcterms:modified xsi:type="dcterms:W3CDTF">2015-09-30T10:52:03Z</dcterms:modified>
</cp:coreProperties>
</file>