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Rupatadine" sheetId="3" r:id="rId3"/>
  </sheets>
  <definedNames>
    <definedName name="_xlnm.Print_Area" localSheetId="2">Rupatadine!$A$1:$J$125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G76" i="3"/>
  <c r="H70" i="3"/>
  <c r="G68" i="3"/>
  <c r="H65" i="3"/>
  <c r="H62" i="3"/>
  <c r="G60" i="3"/>
  <c r="B34" i="3" l="1"/>
  <c r="B87" i="3"/>
  <c r="B69" i="3"/>
  <c r="B68" i="3"/>
  <c r="B45" i="3"/>
  <c r="D44" i="3"/>
  <c r="C120" i="3"/>
  <c r="B116" i="3"/>
  <c r="B98" i="3"/>
  <c r="F95" i="3"/>
  <c r="D95" i="3"/>
  <c r="I92" i="3" s="1"/>
  <c r="D97" i="3"/>
  <c r="B81" i="3"/>
  <c r="B83" i="3" s="1"/>
  <c r="B80" i="3"/>
  <c r="B79" i="3"/>
  <c r="C76" i="3"/>
  <c r="C56" i="3"/>
  <c r="B55" i="3"/>
  <c r="D48" i="3"/>
  <c r="F42" i="3"/>
  <c r="D42" i="3"/>
  <c r="B30" i="3"/>
  <c r="D50" i="2"/>
  <c r="D49" i="2"/>
  <c r="C49" i="2"/>
  <c r="B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F97" i="3"/>
  <c r="F98" i="3" s="1"/>
  <c r="G91" i="3" s="1"/>
  <c r="D101" i="3"/>
  <c r="D102" i="3" s="1"/>
  <c r="I39" i="3"/>
  <c r="F45" i="3"/>
  <c r="D45" i="3"/>
  <c r="D98" i="3"/>
  <c r="E91" i="3" s="1"/>
  <c r="E41" i="3"/>
  <c r="D49" i="3"/>
  <c r="C50" i="2"/>
  <c r="G39" i="3" l="1"/>
  <c r="G38" i="3"/>
  <c r="E40" i="3"/>
  <c r="E39" i="3"/>
  <c r="E38" i="3"/>
  <c r="D46" i="3"/>
  <c r="F46" i="3"/>
  <c r="D99" i="3"/>
  <c r="F99" i="3"/>
  <c r="E93" i="3"/>
  <c r="E92" i="3"/>
  <c r="E94" i="3"/>
  <c r="G40" i="3"/>
  <c r="G92" i="3"/>
  <c r="G41" i="3"/>
  <c r="G94" i="3"/>
  <c r="G93" i="3"/>
  <c r="E42" i="3" l="1"/>
  <c r="D52" i="3"/>
  <c r="E95" i="3"/>
  <c r="D103" i="3"/>
  <c r="G42" i="3"/>
  <c r="D50" i="3"/>
  <c r="H60" i="3" s="1"/>
  <c r="D105" i="3"/>
  <c r="G95" i="3"/>
  <c r="E113" i="3" l="1"/>
  <c r="F113" i="3" s="1"/>
  <c r="E110" i="3"/>
  <c r="F110" i="3" s="1"/>
  <c r="E112" i="3"/>
  <c r="F112" i="3" s="1"/>
  <c r="E108" i="3"/>
  <c r="F108" i="3" s="1"/>
  <c r="G64" i="3"/>
  <c r="H64" i="3" s="1"/>
  <c r="G70" i="3"/>
  <c r="G65" i="3"/>
  <c r="G66" i="3"/>
  <c r="H66" i="3" s="1"/>
  <c r="G61" i="3"/>
  <c r="H61" i="3" s="1"/>
  <c r="H68" i="3"/>
  <c r="E109" i="3"/>
  <c r="F109" i="3" s="1"/>
  <c r="E111" i="3"/>
  <c r="F111" i="3" s="1"/>
  <c r="D104" i="3"/>
  <c r="G69" i="3"/>
  <c r="H69" i="3" s="1"/>
  <c r="G67" i="3"/>
  <c r="H67" i="3" s="1"/>
  <c r="G71" i="3"/>
  <c r="H71" i="3" s="1"/>
  <c r="G62" i="3"/>
  <c r="G63" i="3"/>
  <c r="H63" i="3" s="1"/>
  <c r="D51" i="3"/>
  <c r="F115" i="3" l="1"/>
  <c r="G120" i="3" s="1"/>
  <c r="F117" i="3"/>
  <c r="H74" i="3"/>
  <c r="H72" i="3"/>
  <c r="F116" i="3" l="1"/>
  <c r="H73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<sst xmlns="http://schemas.openxmlformats.org/spreadsheetml/2006/main" count="233" uniqueCount="128">
  <si>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</si>
  <si>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</si>
  <si>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</si>
  <si>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</si>
  <si>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</si>
  <si>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RUPAFIN Tablets</t>
  </si>
  <si>
    <t>% age Purity:</t>
  </si>
  <si>
    <t>NDQD201504187</t>
  </si>
  <si>
    <t>Weight (mg):</t>
  </si>
  <si>
    <t>Rupatadine 10 mg</t>
  </si>
  <si>
    <t>Standard Conc (mg/mL):</t>
  </si>
  <si>
    <t>Each tablet contains Rupatadine 10 mg (as fumarate). Also conatains Lactose</t>
  </si>
  <si>
    <t>2015-04-21 12:32:28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</si>
  <si>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</si>
  <si>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</si>
  <si>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</si>
  <si>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</si>
  <si>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</si>
  <si>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</si>
  <si>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</si>
  <si>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</si>
  <si>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</si>
  <si>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</si>
  <si>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</si>
  <si>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</si>
  <si>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</si>
  <si>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</si>
  <si>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</si>
  <si>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</si>
  <si>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</si>
  <si>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</si>
  <si>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</si>
  <si>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</si>
  <si>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</si>
  <si>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</si>
  <si>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</si>
  <si>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</si>
  <si>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</si>
  <si>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</si>
  <si>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</si>
  <si>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</si>
  <si>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</si>
  <si>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</si>
  <si>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</si>
  <si>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</si>
  <si>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</si>
  <si>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</si>
  <si>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</si>
  <si>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</si>
  <si>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</si>
  <si>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</si>
  <si>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</si>
  <si>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</si>
  <si>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</si>
  <si>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</si>
  <si>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</si>
  <si>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</si>
  <si>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</si>
  <si>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</si>
  <si>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</si>
  <si>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</si>
  <si>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</si>
  <si>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</si>
  <si>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</si>
  <si>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</si>
  <si>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</si>
  <si>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</si>
  <si>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</si>
  <si>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</si>
  <si>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</si>
  <si>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</si>
  <si>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</si>
  <si>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</si>
  <si>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</si>
  <si>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</si>
  <si>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</si>
  <si>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</si>
  <si>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</si>
  <si>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</si>
  <si>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</si>
  <si>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</si>
  <si>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</si>
  <si>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</si>
  <si>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</si>
  <si>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</si>
  <si>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</si>
  <si>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</si>
  <si>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</si>
  <si>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</si>
  <si>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</si>
  <si>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</si>
  <si>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</si>
  <si>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</si>
  <si>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</si>
  <si>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</si>
  <si>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</si>
  <si>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</si>
  <si>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</si>
  <si>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</si>
  <si>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</si>
  <si>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</si>
  <si>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</si>
  <si>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</si>
  <si>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</si>
  <si>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</si>
  <si>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</si>
  <si>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</si>
  <si>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</si>
  <si>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</si>
  <si>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</si>
  <si>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</si>
  <si>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</si>
  <si>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</si>
  <si>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</si>
  <si>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</si>
  <si>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</si>
  <si>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</si>
  <si>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</si>
  <si>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</si>
  <si>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</si>
  <si>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</si>
  <si>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</si>
  <si>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</si>
  <si>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</si>
  <si>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</si>
  <si>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Rupatadine Fumarate</t>
  </si>
  <si>
    <t>R11-1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</si>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</sst>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171" fontId="5" fillId="2" borderId="0" xfId="0" applyNumberFormat="1" applyFont="1" applyFill="1" applyAlignment="1">
      <alignment horizontal="center"/>
    </xf>
    <xf numFmtId="22" fontId="6" fillId="2" borderId="0" xfId="0" applyNumberFormat="1" applyFont="1" applyFill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F38" sqref="F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14.4</v>
      </c>
      <c r="C20" s="10"/>
      <c r="D20" s="10"/>
      <c r="E20" s="10"/>
    </row>
    <row r="21" spans="1:6" ht="16.5" customHeight="1" x14ac:dyDescent="0.3">
      <c r="A21" s="7" t="s">
        <v>10</v>
      </c>
      <c r="B21" s="334">
        <f>B20/50*5/50</f>
        <v>2.8800000000000003E-2</v>
      </c>
      <c r="C21" s="10"/>
      <c r="D21" s="10"/>
      <c r="E21" s="10"/>
    </row>
    <row r="22" spans="1:6" ht="15.75" customHeight="1" x14ac:dyDescent="0.25">
      <c r="A22" s="10"/>
      <c r="B22" s="335">
        <v>42193.522546296299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36919334</v>
      </c>
      <c r="C24" s="18">
        <v>36231.5</v>
      </c>
      <c r="D24" s="19">
        <v>1.6</v>
      </c>
      <c r="E24" s="20">
        <v>13</v>
      </c>
    </row>
    <row r="25" spans="1:6" ht="16.5" customHeight="1" x14ac:dyDescent="0.3">
      <c r="A25" s="17">
        <v>2</v>
      </c>
      <c r="B25" s="18">
        <v>37160657</v>
      </c>
      <c r="C25" s="18">
        <v>33709.9</v>
      </c>
      <c r="D25" s="19">
        <v>1.6</v>
      </c>
      <c r="E25" s="19">
        <v>12.9</v>
      </c>
    </row>
    <row r="26" spans="1:6" ht="16.5" customHeight="1" x14ac:dyDescent="0.3">
      <c r="A26" s="17">
        <v>3</v>
      </c>
      <c r="B26" s="18">
        <v>37374079</v>
      </c>
      <c r="C26" s="18">
        <v>33596.6</v>
      </c>
      <c r="D26" s="19">
        <v>1.6</v>
      </c>
      <c r="E26" s="19">
        <v>12.9</v>
      </c>
    </row>
    <row r="27" spans="1:6" ht="16.5" customHeight="1" x14ac:dyDescent="0.3">
      <c r="A27" s="17">
        <v>4</v>
      </c>
      <c r="B27" s="18">
        <v>37266762</v>
      </c>
      <c r="C27" s="18">
        <v>32919.9</v>
      </c>
      <c r="D27" s="19">
        <v>1.6</v>
      </c>
      <c r="E27" s="19">
        <v>12.9</v>
      </c>
    </row>
    <row r="28" spans="1:6" ht="16.5" customHeight="1" x14ac:dyDescent="0.3">
      <c r="A28" s="17">
        <v>5</v>
      </c>
      <c r="B28" s="18">
        <v>37320066</v>
      </c>
      <c r="C28" s="18">
        <v>32160.6</v>
      </c>
      <c r="D28" s="19">
        <v>1.6</v>
      </c>
      <c r="E28" s="19">
        <v>12.9</v>
      </c>
    </row>
    <row r="29" spans="1:6" ht="16.5" customHeight="1" x14ac:dyDescent="0.3">
      <c r="A29" s="17">
        <v>6</v>
      </c>
      <c r="B29" s="21">
        <v>37347408</v>
      </c>
      <c r="C29" s="21">
        <v>32236</v>
      </c>
      <c r="D29" s="22">
        <v>1.6</v>
      </c>
      <c r="E29" s="22">
        <v>12.9</v>
      </c>
    </row>
    <row r="30" spans="1:6" ht="16.5" customHeight="1" x14ac:dyDescent="0.3">
      <c r="A30" s="23" t="s">
        <v>18</v>
      </c>
      <c r="B30" s="24">
        <f>AVERAGE(B24:B29)</f>
        <v>37231384.333333336</v>
      </c>
      <c r="C30" s="25">
        <f>AVERAGE(C24:C29)</f>
        <v>33475.75</v>
      </c>
      <c r="D30" s="26">
        <f>AVERAGE(D24:D29)</f>
        <v>1.5999999999999999</v>
      </c>
      <c r="E30" s="26">
        <f>AVERAGE(E24:E29)</f>
        <v>12.916666666666666</v>
      </c>
    </row>
    <row r="31" spans="1:6" ht="16.5" customHeight="1" x14ac:dyDescent="0.3">
      <c r="A31" s="27" t="s">
        <v>19</v>
      </c>
      <c r="B31" s="28">
        <f>(STDEV(B24:B29)/B30)</f>
        <v>4.5789308913100363E-3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41" sqref="F4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103.24</v>
      </c>
      <c r="D24" s="87">
        <f t="shared" ref="D24:D43" si="0">(C24-$C$46)/$C$46</f>
        <v>1.9468047813485993E-2</v>
      </c>
      <c r="E24" s="53"/>
    </row>
    <row r="25" spans="1:5" ht="15.75" customHeight="1" x14ac:dyDescent="0.3">
      <c r="C25" s="95">
        <v>100.95</v>
      </c>
      <c r="D25" s="88">
        <f t="shared" si="0"/>
        <v>-3.1451043513035745E-3</v>
      </c>
      <c r="E25" s="53"/>
    </row>
    <row r="26" spans="1:5" ht="15.75" customHeight="1" x14ac:dyDescent="0.3">
      <c r="C26" s="95">
        <v>100.5</v>
      </c>
      <c r="D26" s="88">
        <f t="shared" si="0"/>
        <v>-7.5887368727688169E-3</v>
      </c>
      <c r="E26" s="53"/>
    </row>
    <row r="27" spans="1:5" ht="15.75" customHeight="1" x14ac:dyDescent="0.3">
      <c r="C27" s="95">
        <v>100.02</v>
      </c>
      <c r="D27" s="88">
        <f t="shared" si="0"/>
        <v>-1.2328611562331752E-2</v>
      </c>
      <c r="E27" s="53"/>
    </row>
    <row r="28" spans="1:5" ht="15.75" customHeight="1" x14ac:dyDescent="0.3">
      <c r="C28" s="95">
        <v>101.46</v>
      </c>
      <c r="D28" s="88">
        <f t="shared" si="0"/>
        <v>1.8910125063569118E-3</v>
      </c>
      <c r="E28" s="53"/>
    </row>
    <row r="29" spans="1:5" ht="15.75" customHeight="1" x14ac:dyDescent="0.3">
      <c r="C29" s="95">
        <v>101.33</v>
      </c>
      <c r="D29" s="88">
        <f t="shared" si="0"/>
        <v>6.0729644460033908E-4</v>
      </c>
      <c r="E29" s="53"/>
    </row>
    <row r="30" spans="1:5" ht="15.75" customHeight="1" x14ac:dyDescent="0.3">
      <c r="C30" s="95">
        <v>102.35</v>
      </c>
      <c r="D30" s="88">
        <f t="shared" si="0"/>
        <v>1.0679530159921452E-2</v>
      </c>
      <c r="E30" s="53"/>
    </row>
    <row r="31" spans="1:5" ht="15.75" customHeight="1" x14ac:dyDescent="0.3">
      <c r="C31" s="95">
        <v>100.85</v>
      </c>
      <c r="D31" s="88">
        <f t="shared" si="0"/>
        <v>-4.1325782449625949E-3</v>
      </c>
      <c r="E31" s="53"/>
    </row>
    <row r="32" spans="1:5" ht="15.75" customHeight="1" x14ac:dyDescent="0.3">
      <c r="C32" s="95">
        <v>102.21</v>
      </c>
      <c r="D32" s="88">
        <f t="shared" si="0"/>
        <v>9.2970667087989359E-3</v>
      </c>
      <c r="E32" s="53"/>
    </row>
    <row r="33" spans="1:7" ht="15.75" customHeight="1" x14ac:dyDescent="0.3">
      <c r="C33" s="95">
        <v>102.35</v>
      </c>
      <c r="D33" s="88">
        <f t="shared" si="0"/>
        <v>1.0679530159921452E-2</v>
      </c>
      <c r="E33" s="53"/>
    </row>
    <row r="34" spans="1:7" ht="15.75" customHeight="1" x14ac:dyDescent="0.3">
      <c r="C34" s="95">
        <v>100.98</v>
      </c>
      <c r="D34" s="88">
        <f t="shared" si="0"/>
        <v>-2.8488621832058825E-3</v>
      </c>
      <c r="E34" s="53"/>
    </row>
    <row r="35" spans="1:7" ht="15.75" customHeight="1" x14ac:dyDescent="0.3">
      <c r="C35" s="95">
        <v>100.37</v>
      </c>
      <c r="D35" s="88">
        <f t="shared" si="0"/>
        <v>-8.8724529345253888E-3</v>
      </c>
      <c r="E35" s="53"/>
    </row>
    <row r="36" spans="1:7" ht="15.75" customHeight="1" x14ac:dyDescent="0.3">
      <c r="C36" s="95">
        <v>100.19</v>
      </c>
      <c r="D36" s="88">
        <f t="shared" si="0"/>
        <v>-1.0649905943111543E-2</v>
      </c>
      <c r="E36" s="53"/>
    </row>
    <row r="37" spans="1:7" ht="15.75" customHeight="1" x14ac:dyDescent="0.3">
      <c r="C37" s="95">
        <v>103.15</v>
      </c>
      <c r="D37" s="88">
        <f t="shared" si="0"/>
        <v>1.8579321309193056E-2</v>
      </c>
      <c r="E37" s="53"/>
    </row>
    <row r="38" spans="1:7" ht="15.75" customHeight="1" x14ac:dyDescent="0.3">
      <c r="C38" s="95">
        <v>102.83</v>
      </c>
      <c r="D38" s="88">
        <f t="shared" si="0"/>
        <v>1.5419404849484387E-2</v>
      </c>
      <c r="E38" s="53"/>
    </row>
    <row r="39" spans="1:7" ht="15.75" customHeight="1" x14ac:dyDescent="0.3">
      <c r="C39" s="95">
        <v>99.74</v>
      </c>
      <c r="D39" s="88">
        <f t="shared" si="0"/>
        <v>-1.5093538464576785E-2</v>
      </c>
      <c r="E39" s="53"/>
    </row>
    <row r="40" spans="1:7" ht="15.75" customHeight="1" x14ac:dyDescent="0.3">
      <c r="C40" s="95">
        <v>100.61</v>
      </c>
      <c r="D40" s="88">
        <f t="shared" si="0"/>
        <v>-6.5025155897439927E-3</v>
      </c>
      <c r="E40" s="53"/>
    </row>
    <row r="41" spans="1:7" ht="15.75" customHeight="1" x14ac:dyDescent="0.3">
      <c r="C41" s="95">
        <v>99.6</v>
      </c>
      <c r="D41" s="88">
        <f t="shared" si="0"/>
        <v>-1.6476001915699302E-2</v>
      </c>
      <c r="E41" s="53"/>
    </row>
    <row r="42" spans="1:7" ht="15.75" customHeight="1" x14ac:dyDescent="0.3">
      <c r="C42" s="95">
        <v>100.07</v>
      </c>
      <c r="D42" s="88">
        <f t="shared" si="0"/>
        <v>-1.1834874615502311E-2</v>
      </c>
      <c r="E42" s="53"/>
    </row>
    <row r="43" spans="1:7" ht="16.5" customHeight="1" x14ac:dyDescent="0.3">
      <c r="C43" s="96">
        <v>102.57</v>
      </c>
      <c r="D43" s="89">
        <f t="shared" si="0"/>
        <v>1.2851972725971101E-2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2025.37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101.26849999999999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101.26849999999999</v>
      </c>
      <c r="C49" s="93">
        <f>-IF(C46&lt;=80,10%,IF(C46&lt;250,7.5%,5%))</f>
        <v>-7.4999999999999997E-2</v>
      </c>
      <c r="D49" s="81">
        <f>IF(C46&lt;=80,C46*0.9,IF(C46&lt;250,C46*0.925,C46*0.95))</f>
        <v>93.673362499999996</v>
      </c>
    </row>
    <row r="50" spans="1:6" ht="17.25" customHeight="1" x14ac:dyDescent="0.3">
      <c r="B50" s="287"/>
      <c r="C50" s="94">
        <f>IF(C46&lt;=80, 10%, IF(C46&lt;250, 7.5%, 5%))</f>
        <v>7.4999999999999997E-2</v>
      </c>
      <c r="D50" s="81">
        <f>IF(C46&lt;=80, C46*1.1, IF(C46&lt;250, C46*1.075, C46*1.05))</f>
        <v>108.86363749999998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35" zoomScale="60" zoomScaleNormal="40" zoomScalePageLayoutView="55" workbookViewId="0">
      <selection activeCell="F53" sqref="F5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45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46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68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0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125</v>
      </c>
      <c r="C26" s="327"/>
    </row>
    <row r="27" spans="1:14" ht="26.25" customHeight="1" x14ac:dyDescent="0.4">
      <c r="A27" s="109" t="s">
        <v>48</v>
      </c>
      <c r="B27" s="325" t="s">
        <v>126</v>
      </c>
      <c r="C27" s="325"/>
    </row>
    <row r="28" spans="1:14" ht="27" customHeight="1" x14ac:dyDescent="0.4">
      <c r="A28" s="109" t="s">
        <v>6</v>
      </c>
      <c r="B28" s="110">
        <v>99.63</v>
      </c>
    </row>
    <row r="29" spans="1:14" s="14" customFormat="1" ht="27" customHeight="1" x14ac:dyDescent="0.4">
      <c r="A29" s="109" t="s">
        <v>49</v>
      </c>
      <c r="B29" s="111"/>
      <c r="C29" s="302" t="s">
        <v>50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415.95800000000003</v>
      </c>
      <c r="C31" s="305" t="s">
        <v>53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532.03</v>
      </c>
      <c r="C32" s="305" t="s">
        <v>55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0.78183185158731661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8" t="s">
        <v>59</v>
      </c>
      <c r="E36" s="326"/>
      <c r="F36" s="308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37319414</v>
      </c>
      <c r="E38" s="133">
        <f>IF(ISBLANK(D38),"-",$D$48/$D$45*D38)</f>
        <v>53233965.214570448</v>
      </c>
      <c r="F38" s="132">
        <v>44058343</v>
      </c>
      <c r="G38" s="134">
        <f>IF(ISBLANK(F38),"-",$D$48/$F$45*F38)</f>
        <v>54353862.90809305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37312054</v>
      </c>
      <c r="E39" s="138">
        <f>IF(ISBLANK(D39),"-",$D$48/$D$45*D39)</f>
        <v>53223466.604276642</v>
      </c>
      <c r="F39" s="137">
        <v>43924160</v>
      </c>
      <c r="G39" s="139">
        <f>IF(ISBLANK(F39),"-",$D$48/$F$45*F39)</f>
        <v>54188324.12724065</v>
      </c>
      <c r="I39" s="310">
        <f>ABS((F43/D43*D42)-F42)/D42</f>
        <v>2.2112674614923705E-2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37384373</v>
      </c>
      <c r="E40" s="138">
        <f>IF(ISBLANK(D40),"-",$D$48/$D$45*D40)</f>
        <v>53326625.435504608</v>
      </c>
      <c r="F40" s="137">
        <v>44012783</v>
      </c>
      <c r="G40" s="139">
        <f>IF(ISBLANK(F40),"-",$D$48/$F$45*F40)</f>
        <v>54297656.482125267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37338613.666666664</v>
      </c>
      <c r="E42" s="148">
        <f>AVERAGE(E38:E41)</f>
        <v>53261352.418117233</v>
      </c>
      <c r="F42" s="147">
        <f>AVERAGE(F38:F41)</f>
        <v>43998428.666666664</v>
      </c>
      <c r="G42" s="149">
        <f>AVERAGE(G38:G41)</f>
        <v>54279947.839152992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333">
        <v>14.4</v>
      </c>
      <c r="E43" s="140"/>
      <c r="F43" s="152">
        <v>16.649999999999999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11.258378662857359</v>
      </c>
      <c r="E44" s="155"/>
      <c r="F44" s="154">
        <f>F43*$B$34</f>
        <v>13.01750032892882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11.216722661804786</v>
      </c>
      <c r="E45" s="158"/>
      <c r="F45" s="157">
        <f>F44*$B$30/100</f>
        <v>12.969335577711783</v>
      </c>
      <c r="H45" s="150"/>
    </row>
    <row r="46" spans="1:14" ht="19.5" customHeight="1" x14ac:dyDescent="0.3">
      <c r="A46" s="296" t="s">
        <v>78</v>
      </c>
      <c r="B46" s="297"/>
      <c r="C46" s="153" t="s">
        <v>79</v>
      </c>
      <c r="D46" s="159">
        <f>D45/$B$45</f>
        <v>2.2433445323609573E-2</v>
      </c>
      <c r="E46" s="160"/>
      <c r="F46" s="161">
        <f>F45/$B$45</f>
        <v>2.5938671155423566E-2</v>
      </c>
      <c r="H46" s="150"/>
    </row>
    <row r="47" spans="1:14" ht="27" customHeight="1" x14ac:dyDescent="0.4">
      <c r="A47" s="298"/>
      <c r="B47" s="299"/>
      <c r="C47" s="162" t="s">
        <v>80</v>
      </c>
      <c r="D47" s="163">
        <v>3.2000000000000001E-2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20.46475846119079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53770650.128635116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1.0444194066694957E-2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Rupatadine 10 mg (as fumarate). Also conatains Lactose</v>
      </c>
    </row>
    <row r="56" spans="1:12" ht="26.25" customHeight="1" x14ac:dyDescent="0.4">
      <c r="A56" s="177" t="s">
        <v>87</v>
      </c>
      <c r="B56" s="178">
        <v>10</v>
      </c>
      <c r="C56" s="99" t="str">
        <f>B20</f>
        <v>Rupatadine 10 mg</v>
      </c>
      <c r="H56" s="179"/>
    </row>
    <row r="57" spans="1:12" ht="18.75" x14ac:dyDescent="0.3">
      <c r="A57" s="176" t="s">
        <v>88</v>
      </c>
      <c r="B57" s="269">
        <f>Uniformity!C46</f>
        <v>101.26849999999999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3" t="s">
        <v>94</v>
      </c>
      <c r="D60" s="316">
        <v>100.8</v>
      </c>
      <c r="E60" s="182">
        <v>1</v>
      </c>
      <c r="F60" s="183">
        <v>52406222</v>
      </c>
      <c r="G60" s="271">
        <f>IF(ISBLANK(F60),"-",(F60/$D$50*$D$47*$B$68)*($B$57/$D$60))</f>
        <v>9.7915491867193651</v>
      </c>
      <c r="H60" s="184">
        <f>IF(ISBLANK(F60),"-",G60/$B$56)</f>
        <v>0.97915491867193649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14"/>
      <c r="D61" s="317"/>
      <c r="E61" s="185">
        <v>2</v>
      </c>
      <c r="F61" s="137">
        <v>52329126</v>
      </c>
      <c r="G61" s="272">
        <f>IF(ISBLANK(F61),"-",(F61/$D$50*$D$47*$B$68)*($B$57/$D$60))</f>
        <v>9.7771446132299928</v>
      </c>
      <c r="H61" s="186">
        <f>IF(ISBLANK(F61),"-",G61/$B$56)</f>
        <v>0.97771446132299933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5">
        <v>3</v>
      </c>
      <c r="F62" s="187">
        <v>52298761</v>
      </c>
      <c r="G62" s="272">
        <f>IF(ISBLANK(F62),"-",(F62/$D$50*$D$47*$B$68)*($B$57/$D$60))</f>
        <v>9.7714712336252809</v>
      </c>
      <c r="H62" s="186">
        <f>IF(ISBLANK(F62),"-",G62/$B$56)</f>
        <v>0.97714712336252807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8"/>
      <c r="E63" s="188">
        <v>4</v>
      </c>
      <c r="F63" s="189"/>
      <c r="G63" s="272" t="str">
        <f>IF(ISBLANK(F63),"-",(F63/$D$50*$D$47*$B$68)*($B$57/$D$60))</f>
        <v>-</v>
      </c>
      <c r="H63" s="186" t="str">
        <f t="shared" ref="H60:H71" si="0">IF(ISBLANK(F63),"-",G63/$B$56)</f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101.05</v>
      </c>
      <c r="E64" s="182">
        <v>1</v>
      </c>
      <c r="F64" s="183">
        <v>52988783</v>
      </c>
      <c r="G64" s="273">
        <f>IF(ISBLANK(F64),"-",(F64/$D$50*$D$47*$B$68)*($B$57/$D$64))</f>
        <v>9.8759007564207764</v>
      </c>
      <c r="H64" s="190">
        <f>IF(ISBLANK(F64),"-",G64/$B$56)</f>
        <v>0.98759007564207768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5">
        <v>2</v>
      </c>
      <c r="F65" s="137">
        <v>52748576</v>
      </c>
      <c r="G65" s="274">
        <f>IF(ISBLANK(F65),"-",(F65/$D$50*$D$47*$B$68)*($B$57/$D$64))</f>
        <v>9.8311316494760561</v>
      </c>
      <c r="H65" s="191">
        <f>IF(ISBLANK(F65),"-",G65/$B$56)</f>
        <v>0.98311316494760559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5">
        <v>3</v>
      </c>
      <c r="F66" s="137">
        <v>52679155</v>
      </c>
      <c r="G66" s="274">
        <f>IF(ISBLANK(F66),"-",(F66/$D$50*$D$47*$B$68)*($B$57/$D$64))</f>
        <v>9.8181931582030728</v>
      </c>
      <c r="H66" s="191">
        <f t="shared" si="0"/>
        <v>0.98181931582030724</v>
      </c>
    </row>
    <row r="67" spans="1:8" ht="27" customHeight="1" x14ac:dyDescent="0.4">
      <c r="A67" s="124" t="s">
        <v>102</v>
      </c>
      <c r="B67" s="125">
        <v>1</v>
      </c>
      <c r="C67" s="324"/>
      <c r="D67" s="318"/>
      <c r="E67" s="188">
        <v>4</v>
      </c>
      <c r="F67" s="189"/>
      <c r="G67" s="275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312.5</v>
      </c>
      <c r="C68" s="313" t="s">
        <v>104</v>
      </c>
      <c r="D68" s="316">
        <v>101.37</v>
      </c>
      <c r="E68" s="182">
        <v>1</v>
      </c>
      <c r="F68" s="183">
        <v>52692746</v>
      </c>
      <c r="G68" s="273">
        <f>IF(ISBLANK(F68),"-",(F68/$D$50*$D$47*$B$68)*($B$57/$D$68))</f>
        <v>9.7897246087363001</v>
      </c>
      <c r="H68" s="186">
        <f>IF(ISBLANK(F68),"-",G68/$B$56)</f>
        <v>0.97897246087362999</v>
      </c>
    </row>
    <row r="69" spans="1:8" ht="27" customHeight="1" x14ac:dyDescent="0.4">
      <c r="A69" s="172" t="s">
        <v>105</v>
      </c>
      <c r="B69" s="194">
        <f>(D47*B68)/B56*B57</f>
        <v>101.26849999999999</v>
      </c>
      <c r="C69" s="314"/>
      <c r="D69" s="317"/>
      <c r="E69" s="185">
        <v>2</v>
      </c>
      <c r="F69" s="137">
        <v>52732611</v>
      </c>
      <c r="G69" s="274">
        <f>IF(ISBLANK(F69),"-",(F69/$D$50*$D$47*$B$68)*($B$57/$D$68))</f>
        <v>9.7971310811856043</v>
      </c>
      <c r="H69" s="186">
        <f>IF(ISBLANK(F69),"-",G69/$B$56)</f>
        <v>0.97971310811856038</v>
      </c>
    </row>
    <row r="70" spans="1:8" ht="26.25" customHeight="1" x14ac:dyDescent="0.4">
      <c r="A70" s="319" t="s">
        <v>78</v>
      </c>
      <c r="B70" s="320"/>
      <c r="C70" s="314"/>
      <c r="D70" s="317"/>
      <c r="E70" s="185">
        <v>3</v>
      </c>
      <c r="F70" s="137">
        <v>52743064</v>
      </c>
      <c r="G70" s="274">
        <f>IF(ISBLANK(F70),"-",(F70/$D$50*$D$47*$B$68)*($B$57/$D$68))</f>
        <v>9.799073132019986</v>
      </c>
      <c r="H70" s="186">
        <f>IF(ISBLANK(F70),"-",G70/$B$56)</f>
        <v>0.97990731320199864</v>
      </c>
    </row>
    <row r="71" spans="1:8" ht="27" customHeight="1" x14ac:dyDescent="0.4">
      <c r="A71" s="321"/>
      <c r="B71" s="322"/>
      <c r="C71" s="315"/>
      <c r="D71" s="318"/>
      <c r="E71" s="188">
        <v>4</v>
      </c>
      <c r="F71" s="189"/>
      <c r="G71" s="275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0.980570215773516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6">
        <f>STDEV(H60:H71)/H72</f>
        <v>3.2830301135771934E-3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00" t="str">
        <f>B20</f>
        <v>Rupatadine 10 mg</v>
      </c>
      <c r="D76" s="300"/>
      <c r="E76" s="205" t="s">
        <v>108</v>
      </c>
      <c r="F76" s="205"/>
      <c r="G76" s="206">
        <f>H72</f>
        <v>0.980570215773516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3" t="str">
        <f>B26</f>
        <v>Rupatadine Fumarate</v>
      </c>
      <c r="C79" s="323"/>
    </row>
    <row r="80" spans="1:8" ht="26.25" customHeight="1" x14ac:dyDescent="0.4">
      <c r="A80" s="109" t="s">
        <v>48</v>
      </c>
      <c r="B80" s="323" t="str">
        <f>B27</f>
        <v>R11-1</v>
      </c>
      <c r="C80" s="323"/>
    </row>
    <row r="81" spans="1:12" ht="27" customHeight="1" x14ac:dyDescent="0.4">
      <c r="A81" s="109" t="s">
        <v>6</v>
      </c>
      <c r="B81" s="208">
        <f>B28</f>
        <v>99.63</v>
      </c>
    </row>
    <row r="82" spans="1:12" s="14" customFormat="1" ht="27" customHeight="1" x14ac:dyDescent="0.4">
      <c r="A82" s="109" t="s">
        <v>49</v>
      </c>
      <c r="B82" s="111">
        <v>0</v>
      </c>
      <c r="C82" s="302" t="s">
        <v>50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415.95800000000003</v>
      </c>
      <c r="C84" s="305" t="s">
        <v>111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532.03</v>
      </c>
      <c r="C85" s="305" t="s">
        <v>112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0.78183185158731661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8" t="s">
        <v>60</v>
      </c>
      <c r="G89" s="309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280">
        <v>0.371</v>
      </c>
      <c r="E91" s="133">
        <f>IF(ISBLANK(D91),"-",$D$101/$D$98*D91)</f>
        <v>0.41713195950873938</v>
      </c>
      <c r="F91" s="280">
        <v>0.38600000000000001</v>
      </c>
      <c r="G91" s="134">
        <f>IF(ISBLANK(F91),"-",$D$101/$F$98*F91)</f>
        <v>0.42639267767574396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281">
        <v>0.37</v>
      </c>
      <c r="E92" s="138">
        <f>IF(ISBLANK(D92),"-",$D$101/$D$98*D92)</f>
        <v>0.41600761460440316</v>
      </c>
      <c r="F92" s="281">
        <v>0.38600000000000001</v>
      </c>
      <c r="G92" s="139">
        <f>IF(ISBLANK(F92),"-",$D$101/$F$98*F92)</f>
        <v>0.42639267767574396</v>
      </c>
      <c r="I92" s="310">
        <f>ABS((F96/D96*D95)-F95)/D95</f>
        <v>2.2633230994821861E-2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281">
        <v>0.371</v>
      </c>
      <c r="E93" s="138">
        <f>IF(ISBLANK(D93),"-",$D$101/$D$98*D93)</f>
        <v>0.41713195950873938</v>
      </c>
      <c r="F93" s="281">
        <v>0.38500000000000001</v>
      </c>
      <c r="G93" s="139">
        <f>IF(ISBLANK(F93),"-",$D$101/$F$98*F93)</f>
        <v>0.42528803343306071</v>
      </c>
      <c r="I93" s="31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215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0.3706666666666667</v>
      </c>
      <c r="E95" s="148">
        <f>AVERAGE(E91:E94)</f>
        <v>0.41675717787396066</v>
      </c>
      <c r="F95" s="218">
        <f>AVERAGE(F91:F94)</f>
        <v>0.38566666666666666</v>
      </c>
      <c r="G95" s="219">
        <f>AVERAGE(G91:G94)</f>
        <v>0.42602446292818286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15.7</v>
      </c>
      <c r="E96" s="140"/>
      <c r="F96" s="152">
        <v>15.98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12.27476006992087</v>
      </c>
      <c r="E97" s="155"/>
      <c r="F97" s="154">
        <f>F96*$B$87</f>
        <v>12.49367298836532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12.229343457662162</v>
      </c>
      <c r="E98" s="158"/>
      <c r="F98" s="157">
        <f>F97*$B$83/100</f>
        <v>12.447446398308369</v>
      </c>
    </row>
    <row r="99" spans="1:10" ht="19.5" customHeight="1" x14ac:dyDescent="0.3">
      <c r="A99" s="296" t="s">
        <v>78</v>
      </c>
      <c r="B99" s="311"/>
      <c r="C99" s="222" t="s">
        <v>116</v>
      </c>
      <c r="D99" s="226">
        <f>D98/$B$98</f>
        <v>9.7834747661297294E-3</v>
      </c>
      <c r="E99" s="158"/>
      <c r="F99" s="161">
        <f>F98/$B$98</f>
        <v>9.9579571186466948E-3</v>
      </c>
      <c r="G99" s="227"/>
      <c r="H99" s="150"/>
    </row>
    <row r="100" spans="1:10" ht="19.5" customHeight="1" x14ac:dyDescent="0.3">
      <c r="A100" s="298"/>
      <c r="B100" s="312"/>
      <c r="C100" s="222" t="s">
        <v>80</v>
      </c>
      <c r="D100" s="228">
        <v>1.0999999999999999E-2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13.75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17.586901802585835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0.42139082040107173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1.2122776506084652E-2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82">
        <v>0.42199999999999999</v>
      </c>
      <c r="E108" s="277">
        <f>IF(ISBLANK(D108),"-",D108/$D$103*$D$100*$B$116)</f>
        <v>9.9143118400719992</v>
      </c>
      <c r="F108" s="244">
        <f>IF(ISBLANK(D108), "-", E108/$B$56)</f>
        <v>0.99143118400719987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82">
        <v>0.41699999999999998</v>
      </c>
      <c r="E109" s="278">
        <f t="shared" ref="E109:E113" si="1">IF(ISBLANK(D109),"-",D109/$D$103*$D$100*$B$116)</f>
        <v>9.7968436903081155</v>
      </c>
      <c r="F109" s="245">
        <f>IF(ISBLANK(D109), "-", E109/$B$56)</f>
        <v>0.97968436903081157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82">
        <v>0.42899999999999999</v>
      </c>
      <c r="E110" s="278">
        <f>IF(ISBLANK(D110),"-",D110/$D$103*$D$100*$B$116)</f>
        <v>10.078767249741443</v>
      </c>
      <c r="F110" s="245">
        <f>IF(ISBLANK(D110), "-", E110/$B$56)</f>
        <v>1.0078767249741443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82">
        <v>0.42099999999999999</v>
      </c>
      <c r="E111" s="278">
        <f t="shared" si="1"/>
        <v>9.8908182101192228</v>
      </c>
      <c r="F111" s="245">
        <f t="shared" ref="F109:F111" si="2">IF(ISBLANK(D111), "-", E111/$B$56)</f>
        <v>0.98908182101192232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82">
        <v>0.42699999999999999</v>
      </c>
      <c r="E112" s="278">
        <f t="shared" si="1"/>
        <v>10.031779989835888</v>
      </c>
      <c r="F112" s="245">
        <f>IF(ISBLANK(D112), "-", E112/$B$56)</f>
        <v>1.0031779989835887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83">
        <v>0.433</v>
      </c>
      <c r="E113" s="279">
        <f>IF(ISBLANK(D113),"-",D113/$D$103*$D$100*$B$116)</f>
        <v>10.172741769552552</v>
      </c>
      <c r="F113" s="247">
        <f>IF(ISBLANK(D113), "-", E113/$B$56)</f>
        <v>1.0172741769552551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3"/>
      <c r="D115" s="249"/>
      <c r="E115" s="250" t="s">
        <v>71</v>
      </c>
      <c r="F115" s="251">
        <f>AVERAGE(F108:F113)</f>
        <v>0.99808771249382044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53"/>
      <c r="E116" s="216" t="s">
        <v>84</v>
      </c>
      <c r="F116" s="254">
        <f>STDEV(F108:F113)/F115</f>
        <v>1.3839173872544143E-2</v>
      </c>
      <c r="I116" s="98"/>
    </row>
    <row r="117" spans="1:10" ht="27" customHeight="1" x14ac:dyDescent="0.4">
      <c r="A117" s="296" t="s">
        <v>78</v>
      </c>
      <c r="B117" s="297"/>
      <c r="C117" s="255"/>
      <c r="D117" s="256"/>
      <c r="E117" s="257" t="s">
        <v>20</v>
      </c>
      <c r="F117" s="258">
        <f>COUNT(F108:F113)</f>
        <v>6</v>
      </c>
      <c r="I117" s="98"/>
      <c r="J117" s="236"/>
    </row>
    <row r="118" spans="1:10" ht="19.5" customHeight="1" x14ac:dyDescent="0.3">
      <c r="A118" s="298"/>
      <c r="B118" s="29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00" t="str">
        <f>B20</f>
        <v>Rupatadine 10 mg</v>
      </c>
      <c r="D120" s="300"/>
      <c r="E120" s="205" t="s">
        <v>124</v>
      </c>
      <c r="F120" s="205"/>
      <c r="G120" s="206">
        <f>F115</f>
        <v>0.99808771249382044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01" t="s">
        <v>26</v>
      </c>
      <c r="C122" s="301"/>
      <c r="E122" s="211" t="s">
        <v>27</v>
      </c>
      <c r="F122" s="261"/>
      <c r="G122" s="301" t="s">
        <v>28</v>
      </c>
      <c r="H122" s="301"/>
    </row>
    <row r="123" spans="1:10" ht="69.95" customHeight="1" x14ac:dyDescent="0.3">
      <c r="A123" s="262" t="s">
        <v>29</v>
      </c>
      <c r="B123" s="263" t="s">
        <v>127</v>
      </c>
      <c r="C123" s="263"/>
      <c r="E123" s="263"/>
      <c r="F123" s="98"/>
      <c r="G123" s="264"/>
      <c r="H123" s="264"/>
    </row>
    <row r="124" spans="1:10" ht="69.95" customHeight="1" x14ac:dyDescent="0.3">
      <c r="A124" s="262" t="s">
        <v>30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9" man="1"/>
  </rowBreaks>
  <colBreaks count="1" manualBreakCount="1">
    <brk id="10" max="2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Rupatadine</vt:lpstr>
      <vt:lpstr>Rupatadine!Print_Area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cp:lastPrinted>2015-07-09T09:06:26Z</cp:lastPrinted>
  <dcterms:created xsi:type="dcterms:W3CDTF">2005-07-05T10:19:27Z</dcterms:created>
  <dcterms:modified xsi:type="dcterms:W3CDTF">2015-07-09T09:11:37Z</dcterms:modified>
  <cp:category/>
</cp:coreProperties>
</file>