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25" windowWidth="20775" windowHeight="11445" activeTab="3"/>
  </bookViews>
  <sheets>
    <sheet name="SST" sheetId="1" r:id="rId1"/>
    <sheet name="Uniformity" sheetId="2" r:id="rId2"/>
    <sheet name="SULPHAMETHOXAZOLE" sheetId="3" r:id="rId3"/>
    <sheet name="TRIMETHROPRIM" sheetId="4" r:id="rId4"/>
    <sheet name="SST (Trim)" sheetId="7" r:id="rId5"/>
  </sheets>
  <definedNames>
    <definedName name="_xlnm.Print_Area" localSheetId="2">SULPHAMETHOXAZOLE!$A$1:$J$126</definedName>
    <definedName name="_xlnm.Print_Area" localSheetId="3">TRIMETHROPRIM!$A$1:$H$126</definedName>
    <definedName name="_xlnm.Print_Area" localSheetId="1">Uniformity!$A$1:$F$54</definedName>
  </definedNames>
  <calcPr calcId="145621"/>
</workbook>
</file>

<file path=xl/calcChain.xml><?xml version="1.0" encoding="utf-8"?>
<calcChain xmlns="http://schemas.openxmlformats.org/spreadsheetml/2006/main">
  <c r="F113" i="3" l="1"/>
  <c r="F111" i="3"/>
  <c r="E109" i="3"/>
  <c r="E108" i="3"/>
  <c r="G91" i="3"/>
  <c r="E91" i="3"/>
  <c r="B42" i="7" l="1"/>
  <c r="B42" i="1"/>
  <c r="D97" i="3"/>
  <c r="E108" i="4"/>
  <c r="B116" i="4"/>
  <c r="B21" i="7" l="1"/>
  <c r="B53" i="7"/>
  <c r="E51" i="7"/>
  <c r="D51" i="7"/>
  <c r="C51" i="7"/>
  <c r="B51" i="7"/>
  <c r="B52" i="7" s="1"/>
  <c r="B32" i="7"/>
  <c r="E30" i="7"/>
  <c r="D30" i="7"/>
  <c r="C30" i="7"/>
  <c r="B30" i="7"/>
  <c r="B31" i="7" s="1"/>
  <c r="B21" i="1"/>
  <c r="B68" i="4" l="1"/>
  <c r="B57" i="4"/>
  <c r="B30" i="4"/>
  <c r="G76" i="3"/>
  <c r="H64" i="3"/>
  <c r="H61" i="3"/>
  <c r="G60" i="3"/>
  <c r="B69" i="3"/>
  <c r="B57" i="3"/>
  <c r="B30" i="3"/>
  <c r="C120" i="4"/>
  <c r="E113" i="4"/>
  <c r="F113" i="4" s="1"/>
  <c r="E112" i="4"/>
  <c r="F112" i="4" s="1"/>
  <c r="E111" i="4"/>
  <c r="F111" i="4" s="1"/>
  <c r="E110" i="4"/>
  <c r="F110" i="4" s="1"/>
  <c r="E109" i="4"/>
  <c r="F109" i="4" s="1"/>
  <c r="F108" i="4"/>
  <c r="B98" i="4"/>
  <c r="F97" i="4"/>
  <c r="F95" i="4"/>
  <c r="I92" i="4" s="1"/>
  <c r="D95" i="4"/>
  <c r="G94" i="4"/>
  <c r="E94" i="4"/>
  <c r="G93" i="4"/>
  <c r="E93" i="4"/>
  <c r="G92" i="4"/>
  <c r="E92" i="4"/>
  <c r="G91" i="4"/>
  <c r="E91" i="4"/>
  <c r="B87" i="4"/>
  <c r="D97" i="4" s="1"/>
  <c r="B81" i="4"/>
  <c r="B83" i="4" s="1"/>
  <c r="B80" i="4"/>
  <c r="B79" i="4"/>
  <c r="C76" i="4"/>
  <c r="H71" i="4"/>
  <c r="G71" i="4"/>
  <c r="G70" i="4"/>
  <c r="H70" i="4" s="1"/>
  <c r="G69" i="4"/>
  <c r="H69" i="4" s="1"/>
  <c r="G68" i="4"/>
  <c r="H68" i="4" s="1"/>
  <c r="B69" i="4"/>
  <c r="H67" i="4"/>
  <c r="G67" i="4"/>
  <c r="G66" i="4"/>
  <c r="H66" i="4" s="1"/>
  <c r="G65" i="4"/>
  <c r="H65" i="4" s="1"/>
  <c r="H64" i="4"/>
  <c r="G64" i="4"/>
  <c r="H63" i="4"/>
  <c r="G63" i="4"/>
  <c r="G62" i="4"/>
  <c r="H62" i="4" s="1"/>
  <c r="G61" i="4"/>
  <c r="H61" i="4" s="1"/>
  <c r="H60" i="4"/>
  <c r="G60" i="4"/>
  <c r="C56" i="4"/>
  <c r="B55" i="4"/>
  <c r="B45" i="4"/>
  <c r="D48" i="4" s="1"/>
  <c r="D49" i="4" s="1"/>
  <c r="F42" i="4"/>
  <c r="D42" i="4"/>
  <c r="G41" i="4"/>
  <c r="E41" i="4"/>
  <c r="G40" i="4"/>
  <c r="E39" i="4"/>
  <c r="G38" i="4"/>
  <c r="E38" i="4"/>
  <c r="B34" i="4"/>
  <c r="F44" i="4" s="1"/>
  <c r="C120" i="3"/>
  <c r="B116" i="3"/>
  <c r="B98" i="3"/>
  <c r="F95" i="3"/>
  <c r="D95" i="3"/>
  <c r="G94" i="3"/>
  <c r="E94" i="3"/>
  <c r="G93" i="3"/>
  <c r="E93" i="3"/>
  <c r="G92" i="3"/>
  <c r="E92" i="3"/>
  <c r="B87" i="3"/>
  <c r="F97" i="3" s="1"/>
  <c r="B81" i="3"/>
  <c r="B83" i="3" s="1"/>
  <c r="B80" i="3"/>
  <c r="B79" i="3"/>
  <c r="C76" i="3"/>
  <c r="H71" i="3"/>
  <c r="G71" i="3"/>
  <c r="H70" i="3"/>
  <c r="G70" i="3"/>
  <c r="G69" i="3"/>
  <c r="H69" i="3" s="1"/>
  <c r="H68" i="3"/>
  <c r="G68" i="3"/>
  <c r="B68" i="3"/>
  <c r="H67" i="3"/>
  <c r="G67" i="3"/>
  <c r="H66" i="3"/>
  <c r="G66" i="3"/>
  <c r="G65" i="3"/>
  <c r="H65" i="3" s="1"/>
  <c r="G64" i="3"/>
  <c r="H63" i="3"/>
  <c r="G63" i="3"/>
  <c r="G62" i="3"/>
  <c r="H62" i="3" s="1"/>
  <c r="G61" i="3"/>
  <c r="H60" i="3"/>
  <c r="C56" i="3"/>
  <c r="B55" i="3"/>
  <c r="D48" i="3"/>
  <c r="D49" i="3" s="1"/>
  <c r="B45" i="3"/>
  <c r="F44" i="3"/>
  <c r="F42" i="3"/>
  <c r="D42" i="3"/>
  <c r="G41" i="3"/>
  <c r="E41" i="3"/>
  <c r="I39" i="3"/>
  <c r="B34" i="3"/>
  <c r="D44" i="3" s="1"/>
  <c r="C49" i="2"/>
  <c r="C46" i="2"/>
  <c r="D50" i="2" s="1"/>
  <c r="C45" i="2"/>
  <c r="D43" i="2"/>
  <c r="D41" i="2"/>
  <c r="D39" i="2"/>
  <c r="D37" i="2"/>
  <c r="D35" i="2"/>
  <c r="D33" i="2"/>
  <c r="D31" i="2"/>
  <c r="D29" i="2"/>
  <c r="D27" i="2"/>
  <c r="D25" i="2"/>
  <c r="C19" i="2"/>
  <c r="B53" i="1"/>
  <c r="E51" i="1"/>
  <c r="D51" i="1"/>
  <c r="C51" i="1"/>
  <c r="B51" i="1"/>
  <c r="B52" i="1" s="1"/>
  <c r="B32" i="1"/>
  <c r="E30" i="1"/>
  <c r="D30" i="1"/>
  <c r="C30" i="1"/>
  <c r="B30" i="1"/>
  <c r="B31" i="1" s="1"/>
  <c r="I92" i="3" l="1"/>
  <c r="F117" i="4"/>
  <c r="D101" i="4"/>
  <c r="D102" i="4" s="1"/>
  <c r="D101" i="3"/>
  <c r="D102" i="3" s="1"/>
  <c r="G39" i="4"/>
  <c r="G42" i="4" s="1"/>
  <c r="E40" i="4"/>
  <c r="E42" i="4" s="1"/>
  <c r="I39" i="4"/>
  <c r="H74" i="4"/>
  <c r="F45" i="4"/>
  <c r="F46" i="4" s="1"/>
  <c r="D98" i="4"/>
  <c r="F98" i="4"/>
  <c r="F99" i="4" s="1"/>
  <c r="D105" i="4"/>
  <c r="G95" i="4"/>
  <c r="E95" i="4"/>
  <c r="F115" i="4"/>
  <c r="F116" i="4" s="1"/>
  <c r="G95" i="3"/>
  <c r="E38" i="3"/>
  <c r="G38" i="3"/>
  <c r="D45" i="3"/>
  <c r="F45" i="3"/>
  <c r="E95" i="3"/>
  <c r="D105" i="3"/>
  <c r="H72" i="3"/>
  <c r="F98" i="3"/>
  <c r="F99" i="3" s="1"/>
  <c r="D103" i="3"/>
  <c r="D104" i="3" s="1"/>
  <c r="D44" i="4"/>
  <c r="D45" i="4" s="1"/>
  <c r="D46" i="4" s="1"/>
  <c r="H72" i="4"/>
  <c r="H73" i="4" s="1"/>
  <c r="D24" i="2"/>
  <c r="D28" i="2"/>
  <c r="D32" i="2"/>
  <c r="D36" i="2"/>
  <c r="D40" i="2"/>
  <c r="D49" i="2"/>
  <c r="H74" i="3"/>
  <c r="D103" i="4"/>
  <c r="D104" i="4" s="1"/>
  <c r="C50" i="2"/>
  <c r="D98" i="3"/>
  <c r="D99" i="3" s="1"/>
  <c r="D26" i="2"/>
  <c r="D30" i="2"/>
  <c r="D34" i="2"/>
  <c r="D38" i="2"/>
  <c r="D42" i="2"/>
  <c r="B49" i="2"/>
  <c r="F108" i="3" l="1"/>
  <c r="F109" i="3"/>
  <c r="E111" i="3"/>
  <c r="E110" i="3"/>
  <c r="E113" i="3"/>
  <c r="E112" i="3"/>
  <c r="F112" i="3" s="1"/>
  <c r="G120" i="4"/>
  <c r="D52" i="4"/>
  <c r="D50" i="4"/>
  <c r="D51" i="4" s="1"/>
  <c r="F46" i="3"/>
  <c r="G39" i="3"/>
  <c r="G40" i="3"/>
  <c r="D46" i="3"/>
  <c r="E39" i="3"/>
  <c r="E40" i="3"/>
  <c r="H73" i="3"/>
  <c r="G76" i="4"/>
  <c r="F110" i="3" l="1"/>
  <c r="F117" i="3" s="1"/>
  <c r="G42" i="3"/>
  <c r="D52" i="3"/>
  <c r="D50" i="3"/>
  <c r="D51" i="3" s="1"/>
  <c r="E42" i="3"/>
  <c r="F115" i="3" l="1"/>
  <c r="G120" i="3" s="1"/>
  <c r="F116" i="3"/>
</calcChain>
</file>

<file path=xl/sharedStrings.xml><?xml version="1.0" encoding="utf-8"?>
<sst xmlns="http://schemas.openxmlformats.org/spreadsheetml/2006/main" count="440" uniqueCount="129">
  <si>
    <t>HPLC System Suitability Report</t>
  </si>
  <si>
    <t>Analysis Data</t>
  </si>
  <si>
    <t>Assay</t>
  </si>
  <si>
    <t>Sample(s)</t>
  </si>
  <si>
    <t>Reference Substance:</t>
  </si>
  <si>
    <t>COTRIMOXAZOLE 960 TABLETS</t>
  </si>
  <si>
    <t>% age Purity:</t>
  </si>
  <si>
    <t>NDQD201504191</t>
  </si>
  <si>
    <t>Weight (mg):</t>
  </si>
  <si>
    <t>Sulphamethoxazole 800 mg, Trimethoprim 160 mg</t>
  </si>
  <si>
    <t>Standard Conc (mg/mL):</t>
  </si>
  <si>
    <t>2015-04-22 14:27:32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</si>
  <si>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</si>
  <si>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</si>
  <si>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</si>
  <si>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</si>
  <si>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</si>
  <si>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</si>
  <si>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</si>
  <si>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</si>
  <si>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</si>
  <si>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  <family val="1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</si>
  <si>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  <family val="1"/>
      </rPr>
      <t>greater than 2000</t>
    </r>
  </si>
  <si>
    <r>
      <t>The Assymetry of all peaks were below</t>
    </r>
    <r>
      <rPr>
        <b/>
        <sz val="12"/>
        <color rgb="FF000000"/>
        <rFont val="Book Antiqua"/>
        <family val="1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</si>
  <si>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</si>
  <si>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</si>
  <si>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</si>
  <si>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</si>
  <si>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</si>
  <si>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</si>
  <si>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</si>
  <si>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</si>
  <si>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</si>
  <si>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</si>
  <si>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</si>
  <si>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</si>
  <si>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</si>
  <si>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</si>
  <si>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</si>
  <si>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</si>
  <si>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</si>
  <si>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</si>
  <si>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</si>
  <si>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</si>
  <si>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</si>
  <si>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</si>
  <si>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</si>
  <si>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</si>
  <si>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</si>
  <si>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</si>
  <si>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</si>
  <si>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</si>
  <si>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</si>
  <si>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</si>
  <si>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</si>
  <si>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</si>
  <si>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</si>
  <si>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</si>
  <si>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</si>
  <si>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</si>
  <si>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</si>
  <si>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</si>
  <si>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</si>
  <si>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</si>
  <si>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</si>
  <si>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</si>
  <si>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</si>
  <si>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</si>
  <si>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</si>
  <si>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</si>
  <si>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</si>
  <si>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</si>
  <si>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</si>
  <si>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</si>
  <si>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</si>
  <si>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</si>
  <si>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</si>
  <si>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</si>
  <si>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</si>
  <si>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</si>
  <si>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</si>
  <si>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</si>
  <si>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</si>
  <si>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</si>
  <si>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Capsule contains</t>
  </si>
  <si>
    <t>Average Capsule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</si>
  <si>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</si>
  <si>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</si>
  <si>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</si>
  <si>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</si>
  <si>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</si>
  <si>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</si>
  <si>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</si>
  <si>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</si>
  <si>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</si>
  <si>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</si>
  <si>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</si>
  <si>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</si>
  <si>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</si>
  <si>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</si>
  <si>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</si>
  <si>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</si>
  <si>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</si>
  <si>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</si>
  <si>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</si>
  <si>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</si>
  <si>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</si>
  <si>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</si>
  <si>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</si>
  <si>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</si>
  <si>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</si>
  <si>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</si>
  <si>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</si>
  <si>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</si>
  <si>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</si>
  <si>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</si>
  <si>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Capsule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</si>
  <si>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</si>
  <si>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</si>
  <si>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(mL:</t>
    </r>
  </si>
  <si>
    <t xml:space="preserve">The amount  of </t>
  </si>
  <si>
    <t xml:space="preserve">dissolved as a percentage of the stated  label claim is </t>
  </si>
  <si>
    <t>Sulphamethoxazole</t>
  </si>
  <si>
    <t>S12-2</t>
  </si>
  <si>
    <t>18th May 2015</t>
  </si>
  <si>
    <t>Trimethoprim</t>
  </si>
  <si>
    <t>T7-2</t>
  </si>
  <si>
    <t>Beatrice</t>
  </si>
  <si>
    <t>Sulfamethoxazole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</si>
</sst>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</numFmts>
  <fonts count="24" x14ac:knownFonts="1">
    <font>
      <sz val="10"/>
      <color rgb="FF000000"/>
      <name val="Arial"/>
    </font>
    <font>
      <b/>
      <sz val="10"/>
      <color rgb="FF000000"/>
      <name val="Book Antiqua"/>
      <family val="1"/>
    </font>
    <font>
      <sz val="10"/>
      <color rgb="FF000000"/>
      <name val="Book Antiqua"/>
      <family val="1"/>
    </font>
    <font>
      <b/>
      <u/>
      <sz val="14"/>
      <color rgb="FF000000"/>
      <name val="Book Antiqua"/>
      <family val="1"/>
    </font>
    <font>
      <b/>
      <u/>
      <sz val="12"/>
      <color rgb="FF000000"/>
      <name val="Book Antiqua"/>
      <family val="1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sz val="11"/>
      <color rgb="FF000000"/>
      <name val="Book Antiqua"/>
      <family val="1"/>
    </font>
    <font>
      <b/>
      <sz val="10"/>
      <color rgb="FF000000"/>
      <name val="Arial"/>
      <family val="2"/>
    </font>
    <font>
      <sz val="12"/>
      <color rgb="FF000000"/>
      <name val="Arial"/>
      <family val="2"/>
    </font>
    <font>
      <b/>
      <i/>
      <sz val="10"/>
      <color rgb="FF000000"/>
      <name val="Book Antiqua"/>
      <family val="1"/>
    </font>
    <font>
      <sz val="14"/>
      <color rgb="FF000000"/>
      <name val="Book Antiqua"/>
      <family val="1"/>
    </font>
    <font>
      <b/>
      <sz val="14"/>
      <color rgb="FF000000"/>
      <name val="Book Antiqua"/>
      <family val="1"/>
    </font>
    <font>
      <b/>
      <sz val="20"/>
      <color rgb="FF000000"/>
      <name val="Book Antiqua"/>
      <family val="1"/>
    </font>
    <font>
      <sz val="20"/>
      <color rgb="FF000000"/>
      <name val="Book Antiqua"/>
      <family val="1"/>
    </font>
    <font>
      <b/>
      <sz val="14"/>
      <color rgb="FF000000"/>
      <name val="Calibri"/>
      <family val="2"/>
    </font>
    <font>
      <i/>
      <sz val="14"/>
      <color rgb="FF000000"/>
      <name val="Arial"/>
      <family val="2"/>
    </font>
    <font>
      <i/>
      <sz val="14"/>
      <color rgb="FF000000"/>
      <name val="Book Antiqua"/>
      <family val="1"/>
    </font>
    <font>
      <sz val="14"/>
      <color rgb="FF000000"/>
      <name val="Arial"/>
      <family val="2"/>
    </font>
    <font>
      <b/>
      <i/>
      <sz val="14"/>
      <color rgb="FF000000"/>
      <name val="Book Antiqua"/>
      <family val="1"/>
    </font>
    <font>
      <b/>
      <u/>
      <sz val="16"/>
      <color rgb="FF000000"/>
      <name val="Book Antiqua"/>
      <family val="1"/>
    </font>
    <font>
      <vertAlign val="superscript"/>
      <sz val="14"/>
      <color rgb="FF000000"/>
      <name val="Book Antiqua"/>
      <family val="1"/>
    </font>
    <font>
      <sz val="10"/>
      <name val="Arial"/>
      <family val="2"/>
    </font>
    <font>
      <b/>
      <sz val="14"/>
      <name val="Book Antiqua"/>
      <family val="1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6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2" fillId="2" borderId="0"/>
  </cellStyleXfs>
  <cellXfs count="532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8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8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9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10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71" fontId="12" fillId="6" borderId="38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171" fontId="11" fillId="2" borderId="0" xfId="0" applyNumberFormat="1" applyFont="1" applyFill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166" fontId="12" fillId="2" borderId="0" xfId="0" applyNumberFormat="1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2" fontId="11" fillId="2" borderId="21" xfId="0" applyNumberFormat="1" applyFont="1" applyFill="1" applyBorder="1" applyAlignment="1">
      <alignment horizontal="center"/>
    </xf>
    <xf numFmtId="10" fontId="11" fillId="2" borderId="13" xfId="0" applyNumberFormat="1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/>
    </xf>
    <xf numFmtId="2" fontId="11" fillId="2" borderId="23" xfId="0" applyNumberFormat="1" applyFont="1" applyFill="1" applyBorder="1" applyAlignment="1">
      <alignment horizontal="center"/>
    </xf>
    <xf numFmtId="10" fontId="11" fillId="2" borderId="14" xfId="0" applyNumberFormat="1" applyFont="1" applyFill="1" applyBorder="1" applyAlignment="1">
      <alignment horizontal="center" vertic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2" fontId="11" fillId="2" borderId="13" xfId="0" applyNumberFormat="1" applyFont="1" applyFill="1" applyBorder="1" applyAlignment="1">
      <alignment horizontal="center"/>
    </xf>
    <xf numFmtId="10" fontId="11" fillId="2" borderId="22" xfId="0" applyNumberFormat="1" applyFont="1" applyFill="1" applyBorder="1" applyAlignment="1">
      <alignment horizontal="center" vertical="center"/>
    </xf>
    <xf numFmtId="2" fontId="11" fillId="2" borderId="14" xfId="0" applyNumberFormat="1" applyFont="1" applyFill="1" applyBorder="1" applyAlignment="1">
      <alignment horizontal="center"/>
    </xf>
    <xf numFmtId="10" fontId="11" fillId="2" borderId="24" xfId="0" applyNumberFormat="1" applyFont="1" applyFill="1" applyBorder="1" applyAlignment="1">
      <alignment horizontal="center" vertical="center"/>
    </xf>
    <xf numFmtId="2" fontId="11" fillId="2" borderId="15" xfId="0" applyNumberFormat="1" applyFont="1" applyFill="1" applyBorder="1" applyAlignment="1">
      <alignment horizontal="center"/>
    </xf>
    <xf numFmtId="10" fontId="11" fillId="2" borderId="44" xfId="0" applyNumberFormat="1" applyFont="1" applyFill="1" applyBorder="1" applyAlignment="1">
      <alignment horizontal="center" vertical="center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10" fontId="11" fillId="2" borderId="15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10" fontId="13" fillId="7" borderId="33" xfId="0" applyNumberFormat="1" applyFont="1" applyFill="1" applyBorder="1" applyAlignment="1">
      <alignment horizontal="center"/>
    </xf>
    <xf numFmtId="0" fontId="11" fillId="2" borderId="41" xfId="0" applyFont="1" applyFill="1" applyBorder="1" applyAlignment="1">
      <alignment horizontal="right"/>
    </xf>
    <xf numFmtId="165" fontId="13" fillId="6" borderId="46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7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8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9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1" fontId="13" fillId="3" borderId="34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" fontId="12" fillId="6" borderId="50" xfId="0" applyNumberFormat="1" applyFont="1" applyFill="1" applyBorder="1" applyAlignment="1">
      <alignment horizontal="center"/>
    </xf>
    <xf numFmtId="1" fontId="12" fillId="6" borderId="51" xfId="0" applyNumberFormat="1" applyFont="1" applyFill="1" applyBorder="1" applyAlignment="1">
      <alignment horizontal="center"/>
    </xf>
    <xf numFmtId="171" fontId="12" fillId="6" borderId="15" xfId="0" applyNumberFormat="1" applyFont="1" applyFill="1" applyBorder="1" applyAlignment="1">
      <alignment horizontal="center"/>
    </xf>
    <xf numFmtId="0" fontId="11" fillId="2" borderId="52" xfId="0" applyFont="1" applyFill="1" applyBorder="1" applyAlignment="1">
      <alignment horizontal="right"/>
    </xf>
    <xf numFmtId="0" fontId="13" fillId="3" borderId="53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4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48" xfId="0" applyFont="1" applyFill="1" applyBorder="1" applyAlignment="1">
      <alignment horizontal="center"/>
    </xf>
    <xf numFmtId="0" fontId="12" fillId="2" borderId="55" xfId="0" applyFont="1" applyFill="1" applyBorder="1" applyAlignment="1">
      <alignment horizontal="center"/>
    </xf>
    <xf numFmtId="0" fontId="12" fillId="2" borderId="56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1" fontId="13" fillId="3" borderId="31" xfId="0" applyNumberFormat="1" applyFont="1" applyFill="1" applyBorder="1" applyAlignment="1" applyProtection="1">
      <alignment horizontal="center"/>
      <protection locked="0"/>
    </xf>
    <xf numFmtId="2" fontId="11" fillId="2" borderId="26" xfId="0" applyNumberFormat="1" applyFont="1" applyFill="1" applyBorder="1" applyAlignment="1">
      <alignment horizontal="center"/>
    </xf>
    <xf numFmtId="10" fontId="11" fillId="2" borderId="30" xfId="0" applyNumberFormat="1" applyFont="1" applyFill="1" applyBorder="1" applyAlignment="1">
      <alignment horizontal="center"/>
    </xf>
    <xf numFmtId="2" fontId="11" fillId="2" borderId="31" xfId="0" applyNumberFormat="1" applyFont="1" applyFill="1" applyBorder="1" applyAlignment="1">
      <alignment horizontal="center"/>
    </xf>
    <xf numFmtId="10" fontId="11" fillId="2" borderId="32" xfId="0" applyNumberFormat="1" applyFont="1" applyFill="1" applyBorder="1" applyAlignment="1">
      <alignment horizontal="center"/>
    </xf>
    <xf numFmtId="0" fontId="11" fillId="2" borderId="34" xfId="0" applyFont="1" applyFill="1" applyBorder="1" applyAlignment="1">
      <alignment horizontal="center"/>
    </xf>
    <xf numFmtId="1" fontId="13" fillId="3" borderId="35" xfId="0" applyNumberFormat="1" applyFont="1" applyFill="1" applyBorder="1" applyAlignment="1" applyProtection="1">
      <alignment horizontal="center"/>
      <protection locked="0"/>
    </xf>
    <xf numFmtId="2" fontId="11" fillId="2" borderId="35" xfId="0" applyNumberFormat="1" applyFont="1" applyFill="1" applyBorder="1" applyAlignment="1">
      <alignment horizontal="center"/>
    </xf>
    <xf numFmtId="10" fontId="11" fillId="2" borderId="36" xfId="0" applyNumberFormat="1" applyFont="1" applyFill="1" applyBorder="1" applyAlignment="1">
      <alignment horizontal="center"/>
    </xf>
    <xf numFmtId="2" fontId="11" fillId="2" borderId="24" xfId="0" applyNumberFormat="1" applyFont="1" applyFill="1" applyBorder="1" applyAlignment="1">
      <alignment horizontal="center"/>
    </xf>
    <xf numFmtId="171" fontId="12" fillId="2" borderId="0" xfId="0" applyNumberFormat="1" applyFont="1" applyFill="1" applyAlignment="1">
      <alignment horizontal="center"/>
    </xf>
    <xf numFmtId="171" fontId="11" fillId="2" borderId="2" xfId="0" applyNumberFormat="1" applyFont="1" applyFill="1" applyBorder="1" applyAlignment="1">
      <alignment horizontal="right"/>
    </xf>
    <xf numFmtId="10" fontId="13" fillId="7" borderId="27" xfId="0" applyNumberFormat="1" applyFont="1" applyFill="1" applyBorder="1" applyAlignment="1">
      <alignment horizontal="center"/>
    </xf>
    <xf numFmtId="0" fontId="11" fillId="2" borderId="23" xfId="0" applyFont="1" applyFill="1" applyBorder="1"/>
    <xf numFmtId="0" fontId="11" fillId="2" borderId="6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1" fillId="2" borderId="57" xfId="0" applyFont="1" applyFill="1" applyBorder="1" applyAlignment="1">
      <alignment horizontal="center"/>
    </xf>
    <xf numFmtId="0" fontId="11" fillId="2" borderId="58" xfId="0" applyFont="1" applyFill="1" applyBorder="1" applyAlignment="1">
      <alignment horizontal="right"/>
    </xf>
    <xf numFmtId="0" fontId="13" fillId="7" borderId="17" xfId="0" applyFont="1" applyFill="1" applyBorder="1" applyAlignment="1">
      <alignment horizontal="center"/>
    </xf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166" fontId="12" fillId="2" borderId="0" xfId="0" applyNumberFormat="1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2" fontId="11" fillId="2" borderId="21" xfId="0" applyNumberFormat="1" applyFont="1" applyFill="1" applyBorder="1" applyAlignment="1">
      <alignment horizontal="center"/>
    </xf>
    <xf numFmtId="10" fontId="11" fillId="2" borderId="13" xfId="0" applyNumberFormat="1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/>
    </xf>
    <xf numFmtId="2" fontId="11" fillId="2" borderId="23" xfId="0" applyNumberFormat="1" applyFont="1" applyFill="1" applyBorder="1" applyAlignment="1">
      <alignment horizontal="center"/>
    </xf>
    <xf numFmtId="10" fontId="11" fillId="2" borderId="14" xfId="0" applyNumberFormat="1" applyFont="1" applyFill="1" applyBorder="1" applyAlignment="1">
      <alignment horizontal="center" vertic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2" fontId="11" fillId="2" borderId="13" xfId="0" applyNumberFormat="1" applyFont="1" applyFill="1" applyBorder="1" applyAlignment="1">
      <alignment horizontal="center"/>
    </xf>
    <xf numFmtId="10" fontId="11" fillId="2" borderId="22" xfId="0" applyNumberFormat="1" applyFont="1" applyFill="1" applyBorder="1" applyAlignment="1">
      <alignment horizontal="center" vertical="center"/>
    </xf>
    <xf numFmtId="2" fontId="11" fillId="2" borderId="14" xfId="0" applyNumberFormat="1" applyFont="1" applyFill="1" applyBorder="1" applyAlignment="1">
      <alignment horizontal="center"/>
    </xf>
    <xf numFmtId="10" fontId="11" fillId="2" borderId="24" xfId="0" applyNumberFormat="1" applyFont="1" applyFill="1" applyBorder="1" applyAlignment="1">
      <alignment horizontal="center" vertical="center"/>
    </xf>
    <xf numFmtId="2" fontId="11" fillId="2" borderId="15" xfId="0" applyNumberFormat="1" applyFont="1" applyFill="1" applyBorder="1" applyAlignment="1">
      <alignment horizontal="center"/>
    </xf>
    <xf numFmtId="10" fontId="11" fillId="2" borderId="44" xfId="0" applyNumberFormat="1" applyFont="1" applyFill="1" applyBorder="1" applyAlignment="1">
      <alignment horizontal="center" vertical="center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10" fontId="11" fillId="2" borderId="15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10" fontId="13" fillId="7" borderId="33" xfId="0" applyNumberFormat="1" applyFont="1" applyFill="1" applyBorder="1" applyAlignment="1">
      <alignment horizontal="center"/>
    </xf>
    <xf numFmtId="0" fontId="11" fillId="2" borderId="41" xfId="0" applyFont="1" applyFill="1" applyBorder="1" applyAlignment="1">
      <alignment horizontal="right"/>
    </xf>
    <xf numFmtId="165" fontId="13" fillId="6" borderId="46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7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8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9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1" fontId="13" fillId="3" borderId="34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" fontId="12" fillId="6" borderId="50" xfId="0" applyNumberFormat="1" applyFont="1" applyFill="1" applyBorder="1" applyAlignment="1">
      <alignment horizontal="center"/>
    </xf>
    <xf numFmtId="1" fontId="12" fillId="6" borderId="51" xfId="0" applyNumberFormat="1" applyFont="1" applyFill="1" applyBorder="1" applyAlignment="1">
      <alignment horizontal="center"/>
    </xf>
    <xf numFmtId="171" fontId="12" fillId="6" borderId="15" xfId="0" applyNumberFormat="1" applyFont="1" applyFill="1" applyBorder="1" applyAlignment="1">
      <alignment horizontal="center"/>
    </xf>
    <xf numFmtId="0" fontId="11" fillId="2" borderId="52" xfId="0" applyFont="1" applyFill="1" applyBorder="1" applyAlignment="1">
      <alignment horizontal="right"/>
    </xf>
    <xf numFmtId="0" fontId="13" fillId="3" borderId="53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4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48" xfId="0" applyFont="1" applyFill="1" applyBorder="1" applyAlignment="1">
      <alignment horizontal="center"/>
    </xf>
    <xf numFmtId="0" fontId="12" fillId="2" borderId="55" xfId="0" applyFont="1" applyFill="1" applyBorder="1" applyAlignment="1">
      <alignment horizontal="center"/>
    </xf>
    <xf numFmtId="0" fontId="12" fillId="2" borderId="56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1" fontId="13" fillId="3" borderId="31" xfId="0" applyNumberFormat="1" applyFont="1" applyFill="1" applyBorder="1" applyAlignment="1" applyProtection="1">
      <alignment horizontal="center"/>
      <protection locked="0"/>
    </xf>
    <xf numFmtId="2" fontId="11" fillId="2" borderId="26" xfId="0" applyNumberFormat="1" applyFont="1" applyFill="1" applyBorder="1" applyAlignment="1">
      <alignment horizontal="center"/>
    </xf>
    <xf numFmtId="10" fontId="11" fillId="2" borderId="30" xfId="0" applyNumberFormat="1" applyFont="1" applyFill="1" applyBorder="1" applyAlignment="1">
      <alignment horizontal="center"/>
    </xf>
    <xf numFmtId="2" fontId="11" fillId="2" borderId="31" xfId="0" applyNumberFormat="1" applyFont="1" applyFill="1" applyBorder="1" applyAlignment="1">
      <alignment horizontal="center"/>
    </xf>
    <xf numFmtId="10" fontId="11" fillId="2" borderId="32" xfId="0" applyNumberFormat="1" applyFont="1" applyFill="1" applyBorder="1" applyAlignment="1">
      <alignment horizontal="center"/>
    </xf>
    <xf numFmtId="0" fontId="11" fillId="2" borderId="34" xfId="0" applyFont="1" applyFill="1" applyBorder="1" applyAlignment="1">
      <alignment horizontal="center"/>
    </xf>
    <xf numFmtId="1" fontId="13" fillId="3" borderId="35" xfId="0" applyNumberFormat="1" applyFont="1" applyFill="1" applyBorder="1" applyAlignment="1" applyProtection="1">
      <alignment horizontal="center"/>
      <protection locked="0"/>
    </xf>
    <xf numFmtId="2" fontId="11" fillId="2" borderId="35" xfId="0" applyNumberFormat="1" applyFont="1" applyFill="1" applyBorder="1" applyAlignment="1">
      <alignment horizontal="center"/>
    </xf>
    <xf numFmtId="10" fontId="11" fillId="2" borderId="36" xfId="0" applyNumberFormat="1" applyFont="1" applyFill="1" applyBorder="1" applyAlignment="1">
      <alignment horizontal="center"/>
    </xf>
    <xf numFmtId="2" fontId="11" fillId="2" borderId="24" xfId="0" applyNumberFormat="1" applyFont="1" applyFill="1" applyBorder="1" applyAlignment="1">
      <alignment horizontal="center"/>
    </xf>
    <xf numFmtId="171" fontId="12" fillId="2" borderId="0" xfId="0" applyNumberFormat="1" applyFont="1" applyFill="1" applyAlignment="1">
      <alignment horizontal="center"/>
    </xf>
    <xf numFmtId="171" fontId="11" fillId="2" borderId="2" xfId="0" applyNumberFormat="1" applyFont="1" applyFill="1" applyBorder="1" applyAlignment="1">
      <alignment horizontal="right"/>
    </xf>
    <xf numFmtId="10" fontId="13" fillId="7" borderId="27" xfId="0" applyNumberFormat="1" applyFont="1" applyFill="1" applyBorder="1" applyAlignment="1">
      <alignment horizontal="center"/>
    </xf>
    <xf numFmtId="0" fontId="11" fillId="2" borderId="23" xfId="0" applyFont="1" applyFill="1" applyBorder="1"/>
    <xf numFmtId="0" fontId="11" fillId="2" borderId="6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1" fillId="2" borderId="57" xfId="0" applyFont="1" applyFill="1" applyBorder="1" applyAlignment="1">
      <alignment horizontal="center"/>
    </xf>
    <xf numFmtId="0" fontId="11" fillId="2" borderId="58" xfId="0" applyFont="1" applyFill="1" applyBorder="1" applyAlignment="1">
      <alignment horizontal="right"/>
    </xf>
    <xf numFmtId="0" fontId="13" fillId="7" borderId="17" xfId="0" applyFont="1" applyFill="1" applyBorder="1" applyAlignment="1">
      <alignment horizontal="center"/>
    </xf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0" fontId="14" fillId="2" borderId="0" xfId="0" applyFont="1" applyFill="1"/>
    <xf numFmtId="0" fontId="13" fillId="3" borderId="29" xfId="0" applyFont="1" applyFill="1" applyBorder="1" applyAlignment="1" applyProtection="1">
      <alignment horizontal="center"/>
      <protection locked="0"/>
    </xf>
    <xf numFmtId="0" fontId="13" fillId="3" borderId="23" xfId="0" applyFont="1" applyFill="1" applyBorder="1" applyAlignment="1" applyProtection="1">
      <alignment horizontal="center"/>
      <protection locked="0"/>
    </xf>
    <xf numFmtId="0" fontId="2" fillId="2" borderId="0" xfId="0" applyFont="1" applyFill="1" applyAlignment="1">
      <alignment horizontal="center"/>
    </xf>
    <xf numFmtId="0" fontId="13" fillId="3" borderId="16" xfId="0" applyFont="1" applyFill="1" applyBorder="1" applyAlignment="1" applyProtection="1">
      <alignment horizontal="center"/>
      <protection locked="0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0" fontId="2" fillId="2" borderId="0" xfId="0" applyFont="1" applyFill="1"/>
    <xf numFmtId="171" fontId="14" fillId="2" borderId="26" xfId="0" applyNumberFormat="1" applyFont="1" applyFill="1" applyBorder="1" applyAlignment="1">
      <alignment horizontal="center"/>
    </xf>
    <xf numFmtId="171" fontId="14" fillId="2" borderId="31" xfId="0" applyNumberFormat="1" applyFont="1" applyFill="1" applyBorder="1" applyAlignment="1">
      <alignment horizontal="center"/>
    </xf>
    <xf numFmtId="171" fontId="14" fillId="2" borderId="30" xfId="0" applyNumberFormat="1" applyFont="1" applyFill="1" applyBorder="1" applyAlignment="1">
      <alignment horizontal="center"/>
    </xf>
    <xf numFmtId="171" fontId="14" fillId="2" borderId="32" xfId="0" applyNumberFormat="1" applyFont="1" applyFill="1" applyBorder="1" applyAlignment="1">
      <alignment horizontal="center"/>
    </xf>
    <xf numFmtId="1" fontId="13" fillId="6" borderId="37" xfId="0" applyNumberFormat="1" applyFont="1" applyFill="1" applyBorder="1" applyAlignment="1">
      <alignment horizontal="center"/>
    </xf>
    <xf numFmtId="2" fontId="14" fillId="6" borderId="41" xfId="0" applyNumberFormat="1" applyFont="1" applyFill="1" applyBorder="1" applyAlignment="1">
      <alignment horizontal="center"/>
    </xf>
    <xf numFmtId="2" fontId="14" fillId="7" borderId="41" xfId="0" applyNumberFormat="1" applyFont="1" applyFill="1" applyBorder="1" applyAlignment="1">
      <alignment horizontal="center"/>
    </xf>
    <xf numFmtId="166" fontId="14" fillId="6" borderId="41" xfId="0" applyNumberFormat="1" applyFont="1" applyFill="1" applyBorder="1" applyAlignment="1">
      <alignment horizontal="center"/>
    </xf>
    <xf numFmtId="2" fontId="14" fillId="6" borderId="15" xfId="0" applyNumberFormat="1" applyFont="1" applyFill="1" applyBorder="1" applyAlignment="1">
      <alignment horizontal="center"/>
    </xf>
    <xf numFmtId="171" fontId="13" fillId="7" borderId="13" xfId="0" applyNumberFormat="1" applyFont="1" applyFill="1" applyBorder="1" applyAlignment="1">
      <alignment horizontal="center"/>
    </xf>
    <xf numFmtId="10" fontId="14" fillId="6" borderId="41" xfId="0" applyNumberFormat="1" applyFont="1" applyFill="1" applyBorder="1" applyAlignment="1">
      <alignment horizontal="center"/>
    </xf>
    <xf numFmtId="0" fontId="14" fillId="7" borderId="15" xfId="0" applyFont="1" applyFill="1" applyBorder="1" applyAlignment="1">
      <alignment horizontal="center"/>
    </xf>
    <xf numFmtId="171" fontId="13" fillId="6" borderId="38" xfId="0" applyNumberFormat="1" applyFont="1" applyFill="1" applyBorder="1" applyAlignment="1">
      <alignment horizontal="center"/>
    </xf>
    <xf numFmtId="171" fontId="13" fillId="6" borderId="39" xfId="0" applyNumberFormat="1" applyFont="1" applyFill="1" applyBorder="1" applyAlignment="1">
      <alignment horizontal="center"/>
    </xf>
    <xf numFmtId="0" fontId="14" fillId="2" borderId="0" xfId="0" applyFont="1" applyFill="1" applyAlignment="1">
      <alignment horizontal="center"/>
    </xf>
    <xf numFmtId="2" fontId="14" fillId="2" borderId="0" xfId="0" applyNumberFormat="1" applyFont="1" applyFill="1" applyAlignment="1">
      <alignment horizontal="center"/>
    </xf>
    <xf numFmtId="166" fontId="14" fillId="2" borderId="0" xfId="0" applyNumberFormat="1" applyFont="1" applyFill="1" applyAlignment="1">
      <alignment horizontal="center"/>
    </xf>
    <xf numFmtId="166" fontId="14" fillId="6" borderId="17" xfId="0" applyNumberFormat="1" applyFont="1" applyFill="1" applyBorder="1" applyAlignment="1">
      <alignment horizontal="center"/>
    </xf>
    <xf numFmtId="0" fontId="23" fillId="2" borderId="0" xfId="1" applyFont="1" applyAlignment="1">
      <alignment horizontal="left"/>
    </xf>
    <xf numFmtId="2" fontId="23" fillId="2" borderId="0" xfId="1" applyNumberFormat="1" applyFont="1" applyAlignment="1">
      <alignment horizontal="center"/>
    </xf>
    <xf numFmtId="171" fontId="23" fillId="2" borderId="0" xfId="1" applyNumberFormat="1" applyFont="1" applyAlignment="1">
      <alignment horizontal="center"/>
    </xf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0" fillId="2" borderId="18" xfId="0" applyFont="1" applyFill="1" applyBorder="1" applyAlignment="1">
      <alignment horizontal="center" wrapText="1"/>
    </xf>
    <xf numFmtId="0" fontId="10" fillId="2" borderId="19" xfId="0" applyFont="1" applyFill="1" applyBorder="1" applyAlignment="1">
      <alignment horizontal="center" wrapText="1"/>
    </xf>
    <xf numFmtId="0" fontId="10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19" fillId="2" borderId="21" xfId="0" applyFont="1" applyFill="1" applyBorder="1" applyAlignment="1">
      <alignment horizontal="left" vertical="center" wrapText="1"/>
    </xf>
    <xf numFmtId="0" fontId="19" fillId="2" borderId="22" xfId="0" applyFont="1" applyFill="1" applyBorder="1" applyAlignment="1">
      <alignment horizontal="left" vertical="center" wrapText="1"/>
    </xf>
    <xf numFmtId="0" fontId="19" fillId="2" borderId="43" xfId="0" applyFont="1" applyFill="1" applyBorder="1" applyAlignment="1">
      <alignment horizontal="left" vertical="center" wrapText="1"/>
    </xf>
    <xf numFmtId="0" fontId="19" fillId="2" borderId="44" xfId="0" applyFont="1" applyFill="1" applyBorder="1" applyAlignment="1">
      <alignment horizontal="left" vertical="center" wrapText="1"/>
    </xf>
    <xf numFmtId="0" fontId="12" fillId="2" borderId="0" xfId="0" applyFont="1" applyFill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9" fillId="2" borderId="18" xfId="0" applyFont="1" applyFill="1" applyBorder="1" applyAlignment="1">
      <alignment horizontal="justify" vertical="center" wrapText="1"/>
    </xf>
    <xf numFmtId="0" fontId="19" fillId="2" borderId="19" xfId="0" applyFont="1" applyFill="1" applyBorder="1" applyAlignment="1">
      <alignment horizontal="justify" vertical="center" wrapText="1"/>
    </xf>
    <xf numFmtId="0" fontId="19" fillId="2" borderId="20" xfId="0" applyFont="1" applyFill="1" applyBorder="1" applyAlignment="1">
      <alignment horizontal="justify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19" fillId="2" borderId="19" xfId="0" applyFont="1" applyFill="1" applyBorder="1" applyAlignment="1">
      <alignment horizontal="left" vertical="center" wrapText="1"/>
    </xf>
    <xf numFmtId="0" fontId="19" fillId="2" borderId="20" xfId="0" applyFont="1" applyFill="1" applyBorder="1" applyAlignment="1">
      <alignment horizontal="left" vertical="center" wrapText="1"/>
    </xf>
    <xf numFmtId="0" fontId="12" fillId="2" borderId="48" xfId="0" applyFont="1" applyFill="1" applyBorder="1" applyAlignment="1">
      <alignment horizontal="center"/>
    </xf>
    <xf numFmtId="0" fontId="12" fillId="2" borderId="59" xfId="0" applyFont="1" applyFill="1" applyBorder="1" applyAlignment="1">
      <alignment horizontal="center"/>
    </xf>
    <xf numFmtId="10" fontId="15" fillId="2" borderId="14" xfId="0" applyNumberFormat="1" applyFont="1" applyFill="1" applyBorder="1" applyAlignment="1">
      <alignment horizontal="center" vertical="center"/>
    </xf>
    <xf numFmtId="0" fontId="19" fillId="2" borderId="10" xfId="0" applyFont="1" applyFill="1" applyBorder="1" applyAlignment="1">
      <alignment horizontal="left" vertical="center" wrapText="1"/>
    </xf>
    <xf numFmtId="0" fontId="19" fillId="2" borderId="9" xfId="0" applyFont="1" applyFill="1" applyBorder="1" applyAlignment="1">
      <alignment horizontal="left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43" xfId="0" applyFont="1" applyFill="1" applyBorder="1" applyAlignment="1">
      <alignment horizontal="center" vertical="center"/>
    </xf>
    <xf numFmtId="2" fontId="13" fillId="3" borderId="13" xfId="0" applyNumberFormat="1" applyFont="1" applyFill="1" applyBorder="1" applyAlignment="1" applyProtection="1">
      <alignment horizontal="center" vertical="center"/>
      <protection locked="0"/>
    </xf>
    <xf numFmtId="2" fontId="13" fillId="3" borderId="14" xfId="0" applyNumberFormat="1" applyFont="1" applyFill="1" applyBorder="1" applyAlignment="1" applyProtection="1">
      <alignment horizontal="center" vertical="center"/>
      <protection locked="0"/>
    </xf>
    <xf numFmtId="2" fontId="13" fillId="3" borderId="15" xfId="0" applyNumberFormat="1" applyFont="1" applyFill="1" applyBorder="1" applyAlignment="1" applyProtection="1">
      <alignment horizontal="center" vertical="center"/>
      <protection locked="0"/>
    </xf>
    <xf numFmtId="0" fontId="19" fillId="2" borderId="21" xfId="0" applyFont="1" applyFill="1" applyBorder="1" applyAlignment="1">
      <alignment horizontal="center" vertical="center" wrapText="1"/>
    </xf>
    <xf numFmtId="0" fontId="19" fillId="2" borderId="22" xfId="0" applyFont="1" applyFill="1" applyBorder="1" applyAlignment="1">
      <alignment horizontal="center" vertical="center" wrapText="1"/>
    </xf>
    <xf numFmtId="0" fontId="19" fillId="2" borderId="43" xfId="0" applyFont="1" applyFill="1" applyBorder="1" applyAlignment="1">
      <alignment horizontal="center" vertical="center" wrapText="1"/>
    </xf>
    <xf numFmtId="0" fontId="19" fillId="2" borderId="44" xfId="0" applyFont="1" applyFill="1" applyBorder="1" applyAlignment="1">
      <alignment horizontal="center" vertical="center" wrapText="1"/>
    </xf>
    <xf numFmtId="0" fontId="13" fillId="3" borderId="0" xfId="0" applyFont="1" applyFill="1" applyAlignment="1" applyProtection="1">
      <alignment horizontal="left"/>
      <protection locked="0"/>
    </xf>
    <xf numFmtId="0" fontId="12" fillId="2" borderId="9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/>
      <protection locked="0"/>
    </xf>
    <xf numFmtId="0" fontId="12" fillId="2" borderId="40" xfId="0" applyFont="1" applyFill="1" applyBorder="1" applyAlignment="1">
      <alignment horizontal="center"/>
    </xf>
    <xf numFmtId="0" fontId="13" fillId="3" borderId="0" xfId="0" applyFont="1" applyFill="1" applyAlignment="1" applyProtection="1">
      <alignment horizontal="left" wrapText="1"/>
      <protection locked="0"/>
    </xf>
    <xf numFmtId="0" fontId="19" fillId="2" borderId="18" xfId="0" applyFont="1" applyFill="1" applyBorder="1" applyAlignment="1">
      <alignment horizontal="center"/>
    </xf>
    <xf numFmtId="0" fontId="19" fillId="2" borderId="19" xfId="0" applyFont="1" applyFill="1" applyBorder="1" applyAlignment="1">
      <alignment horizontal="center"/>
    </xf>
    <xf numFmtId="0" fontId="19" fillId="2" borderId="20" xfId="0" applyFont="1" applyFill="1" applyBorder="1" applyAlignment="1">
      <alignment horizontal="center"/>
    </xf>
    <xf numFmtId="0" fontId="20" fillId="2" borderId="10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 wrapText="1"/>
      <protection locked="0"/>
    </xf>
    <xf numFmtId="2" fontId="5" fillId="2" borderId="0" xfId="0" applyNumberFormat="1" applyFont="1" applyFill="1" applyAlignment="1">
      <alignment horizontal="left"/>
    </xf>
  </cellXfs>
  <cellStyles count="2">
    <cellStyle name="Normal" xfId="0" builtinId="0"/>
    <cellStyle name="Normal 2" xfId="1"/>
  </cellStyles>
  <dxfs count="37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61"/>
  <sheetViews>
    <sheetView topLeftCell="A10" workbookViewId="0">
      <selection activeCell="B39" sqref="B39:E51"/>
    </sheetView>
  </sheetViews>
  <sheetFormatPr defaultRowHeight="13.5" x14ac:dyDescent="0.25"/>
  <cols>
    <col min="1" max="1" width="27.5703125" style="4" customWidth="1"/>
    <col min="2" max="2" width="53.1406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">
      <c r="A15" s="484" t="s">
        <v>0</v>
      </c>
      <c r="B15" s="484"/>
      <c r="C15" s="484"/>
      <c r="D15" s="484"/>
      <c r="E15" s="484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 t="s">
        <v>5</v>
      </c>
      <c r="D17" s="9"/>
      <c r="E17" s="10"/>
    </row>
    <row r="18" spans="1:6" ht="16.5" customHeight="1" x14ac:dyDescent="0.3">
      <c r="A18" s="11" t="s">
        <v>4</v>
      </c>
      <c r="B18" s="481" t="s">
        <v>128</v>
      </c>
      <c r="C18" s="10"/>
      <c r="D18" s="10"/>
      <c r="E18" s="10"/>
    </row>
    <row r="19" spans="1:6" ht="16.5" customHeight="1" x14ac:dyDescent="0.3">
      <c r="A19" s="11" t="s">
        <v>6</v>
      </c>
      <c r="B19" s="482">
        <v>99.58</v>
      </c>
      <c r="C19" s="10"/>
      <c r="D19" s="10"/>
      <c r="E19" s="10"/>
    </row>
    <row r="20" spans="1:6" ht="16.5" customHeight="1" x14ac:dyDescent="0.3">
      <c r="A20" s="7" t="s">
        <v>8</v>
      </c>
      <c r="B20" s="482">
        <v>16.54</v>
      </c>
      <c r="C20" s="10"/>
      <c r="D20" s="10"/>
      <c r="E20" s="10"/>
    </row>
    <row r="21" spans="1:6" ht="16.5" customHeight="1" x14ac:dyDescent="0.3">
      <c r="A21" s="7" t="s">
        <v>10</v>
      </c>
      <c r="B21" s="482">
        <f>B20/50*10/20</f>
        <v>0.16539999999999999</v>
      </c>
      <c r="C21" s="10"/>
      <c r="D21" s="10"/>
      <c r="E21" s="10"/>
    </row>
    <row r="22" spans="1:6" ht="15.75" customHeight="1" x14ac:dyDescent="0.25">
      <c r="A22" s="10"/>
      <c r="B22" s="10"/>
      <c r="C22" s="10"/>
      <c r="D22" s="10"/>
      <c r="E22" s="10"/>
    </row>
    <row r="23" spans="1:6" ht="16.5" customHeight="1" x14ac:dyDescent="0.3">
      <c r="A23" s="14" t="s">
        <v>12</v>
      </c>
      <c r="B23" s="15" t="s">
        <v>13</v>
      </c>
      <c r="C23" s="14" t="s">
        <v>14</v>
      </c>
      <c r="D23" s="14" t="s">
        <v>15</v>
      </c>
      <c r="E23" s="16" t="s">
        <v>16</v>
      </c>
    </row>
    <row r="24" spans="1:6" ht="16.5" customHeight="1" x14ac:dyDescent="0.3">
      <c r="A24" s="17">
        <v>1</v>
      </c>
      <c r="B24" s="18">
        <v>124494287</v>
      </c>
      <c r="C24" s="18">
        <v>7219.1</v>
      </c>
      <c r="D24" s="19">
        <v>0.9</v>
      </c>
      <c r="E24" s="20">
        <v>8</v>
      </c>
    </row>
    <row r="25" spans="1:6" ht="16.5" customHeight="1" x14ac:dyDescent="0.3">
      <c r="A25" s="17">
        <v>2</v>
      </c>
      <c r="B25" s="18">
        <v>124515508</v>
      </c>
      <c r="C25" s="18">
        <v>7110.8</v>
      </c>
      <c r="D25" s="19">
        <v>0.9</v>
      </c>
      <c r="E25" s="19">
        <v>8</v>
      </c>
    </row>
    <row r="26" spans="1:6" ht="16.5" customHeight="1" x14ac:dyDescent="0.3">
      <c r="A26" s="17">
        <v>3</v>
      </c>
      <c r="B26" s="18">
        <v>124690195</v>
      </c>
      <c r="C26" s="18">
        <v>7163.8</v>
      </c>
      <c r="D26" s="19">
        <v>0.9</v>
      </c>
      <c r="E26" s="19">
        <v>8</v>
      </c>
    </row>
    <row r="27" spans="1:6" ht="16.5" customHeight="1" x14ac:dyDescent="0.3">
      <c r="A27" s="17">
        <v>4</v>
      </c>
      <c r="B27" s="18">
        <v>124710354</v>
      </c>
      <c r="C27" s="18">
        <v>7165.5</v>
      </c>
      <c r="D27" s="19">
        <v>0.9</v>
      </c>
      <c r="E27" s="19">
        <v>8</v>
      </c>
    </row>
    <row r="28" spans="1:6" ht="16.5" customHeight="1" x14ac:dyDescent="0.3">
      <c r="A28" s="17">
        <v>5</v>
      </c>
      <c r="B28" s="18">
        <v>125055542</v>
      </c>
      <c r="C28" s="18">
        <v>7165</v>
      </c>
      <c r="D28" s="19">
        <v>0.9</v>
      </c>
      <c r="E28" s="19">
        <v>8</v>
      </c>
    </row>
    <row r="29" spans="1:6" ht="16.5" customHeight="1" x14ac:dyDescent="0.3">
      <c r="A29" s="17">
        <v>6</v>
      </c>
      <c r="B29" s="21">
        <v>125103762</v>
      </c>
      <c r="C29" s="21">
        <v>7148.2</v>
      </c>
      <c r="D29" s="22">
        <v>0.9</v>
      </c>
      <c r="E29" s="22">
        <v>8</v>
      </c>
    </row>
    <row r="30" spans="1:6" ht="16.5" customHeight="1" x14ac:dyDescent="0.3">
      <c r="A30" s="23" t="s">
        <v>17</v>
      </c>
      <c r="B30" s="24">
        <f>AVERAGE(B24:B29)</f>
        <v>124761608</v>
      </c>
      <c r="C30" s="25">
        <f>AVERAGE(C24:C29)</f>
        <v>7162.0666666666657</v>
      </c>
      <c r="D30" s="26">
        <f>AVERAGE(D24:D29)</f>
        <v>0.9</v>
      </c>
      <c r="E30" s="26">
        <f>AVERAGE(E24:E29)</f>
        <v>8</v>
      </c>
    </row>
    <row r="31" spans="1:6" ht="16.5" customHeight="1" x14ac:dyDescent="0.3">
      <c r="A31" s="27" t="s">
        <v>18</v>
      </c>
      <c r="B31" s="28">
        <f>(STDEV(B24:B29)/B30)</f>
        <v>2.100002156728053E-3</v>
      </c>
      <c r="C31" s="29"/>
      <c r="D31" s="29"/>
      <c r="E31" s="30"/>
      <c r="F31" s="2"/>
    </row>
    <row r="32" spans="1:6" s="2" customFormat="1" ht="16.5" customHeight="1" x14ac:dyDescent="0.3">
      <c r="A32" s="31" t="s">
        <v>19</v>
      </c>
      <c r="B32" s="32">
        <f>COUNT(B24:B29)</f>
        <v>6</v>
      </c>
      <c r="C32" s="33"/>
      <c r="D32" s="34"/>
      <c r="E32" s="35"/>
    </row>
    <row r="33" spans="1:6" s="2" customFormat="1" ht="15.75" customHeight="1" x14ac:dyDescent="0.25">
      <c r="A33" s="10"/>
      <c r="B33" s="10"/>
      <c r="C33" s="10"/>
      <c r="D33" s="10"/>
      <c r="E33" s="36"/>
    </row>
    <row r="34" spans="1:6" s="2" customFormat="1" ht="16.5" customHeight="1" x14ac:dyDescent="0.3">
      <c r="A34" s="11" t="s">
        <v>20</v>
      </c>
      <c r="B34" s="37" t="s">
        <v>21</v>
      </c>
      <c r="C34" s="38"/>
      <c r="D34" s="38"/>
      <c r="E34" s="39"/>
    </row>
    <row r="35" spans="1:6" ht="16.5" customHeight="1" x14ac:dyDescent="0.3">
      <c r="A35" s="11"/>
      <c r="B35" s="37" t="s">
        <v>22</v>
      </c>
      <c r="C35" s="38"/>
      <c r="D35" s="38"/>
      <c r="E35" s="39"/>
      <c r="F35" s="2"/>
    </row>
    <row r="36" spans="1:6" ht="16.5" customHeight="1" x14ac:dyDescent="0.3">
      <c r="A36" s="11"/>
      <c r="B36" s="40" t="s">
        <v>23</v>
      </c>
      <c r="C36" s="38"/>
      <c r="D36" s="38"/>
      <c r="E36" s="38"/>
    </row>
    <row r="37" spans="1:6" ht="15.75" customHeight="1" x14ac:dyDescent="0.25">
      <c r="A37" s="10"/>
      <c r="B37" s="10"/>
      <c r="C37" s="10"/>
      <c r="D37" s="10"/>
      <c r="E37" s="10"/>
    </row>
    <row r="38" spans="1:6" ht="16.5" customHeight="1" x14ac:dyDescent="0.3">
      <c r="A38" s="5" t="s">
        <v>1</v>
      </c>
      <c r="B38" s="6" t="s">
        <v>24</v>
      </c>
    </row>
    <row r="39" spans="1:6" ht="16.5" customHeight="1" x14ac:dyDescent="0.3">
      <c r="A39" s="11" t="s">
        <v>4</v>
      </c>
      <c r="B39" s="8" t="s">
        <v>128</v>
      </c>
      <c r="C39" s="10"/>
      <c r="D39" s="10"/>
      <c r="E39" s="10"/>
    </row>
    <row r="40" spans="1:6" ht="16.5" customHeight="1" x14ac:dyDescent="0.3">
      <c r="A40" s="11" t="s">
        <v>6</v>
      </c>
      <c r="B40" s="12">
        <v>99.58</v>
      </c>
      <c r="C40" s="10"/>
      <c r="D40" s="10"/>
      <c r="E40" s="10"/>
    </row>
    <row r="41" spans="1:6" ht="16.5" customHeight="1" x14ac:dyDescent="0.3">
      <c r="A41" s="7" t="s">
        <v>8</v>
      </c>
      <c r="B41" s="12">
        <v>15.36</v>
      </c>
      <c r="C41" s="10"/>
      <c r="D41" s="10"/>
      <c r="E41" s="10"/>
    </row>
    <row r="42" spans="1:6" ht="16.5" customHeight="1" x14ac:dyDescent="0.3">
      <c r="A42" s="7" t="s">
        <v>10</v>
      </c>
      <c r="B42" s="13">
        <f>B41/25*15/50</f>
        <v>0.18431999999999998</v>
      </c>
      <c r="C42" s="10"/>
      <c r="D42" s="10"/>
      <c r="E42" s="10"/>
    </row>
    <row r="43" spans="1:6" ht="15.75" customHeight="1" x14ac:dyDescent="0.25">
      <c r="A43" s="10"/>
      <c r="B43" s="10"/>
      <c r="C43" s="10"/>
      <c r="D43" s="10"/>
      <c r="E43" s="10"/>
    </row>
    <row r="44" spans="1:6" ht="16.5" customHeight="1" x14ac:dyDescent="0.3">
      <c r="A44" s="14" t="s">
        <v>12</v>
      </c>
      <c r="B44" s="15" t="s">
        <v>13</v>
      </c>
      <c r="C44" s="14" t="s">
        <v>14</v>
      </c>
      <c r="D44" s="14" t="s">
        <v>15</v>
      </c>
      <c r="E44" s="16" t="s">
        <v>16</v>
      </c>
    </row>
    <row r="45" spans="1:6" ht="16.5" customHeight="1" x14ac:dyDescent="0.3">
      <c r="A45" s="17">
        <v>1</v>
      </c>
      <c r="B45" s="18">
        <v>166860905</v>
      </c>
      <c r="C45" s="18">
        <v>12818.7</v>
      </c>
      <c r="D45" s="19">
        <v>0.94</v>
      </c>
      <c r="E45" s="20">
        <v>8.25</v>
      </c>
    </row>
    <row r="46" spans="1:6" ht="16.5" customHeight="1" x14ac:dyDescent="0.3">
      <c r="A46" s="17">
        <v>2</v>
      </c>
      <c r="B46" s="18">
        <v>167257560</v>
      </c>
      <c r="C46" s="18">
        <v>12817.5</v>
      </c>
      <c r="D46" s="19">
        <v>0.95</v>
      </c>
      <c r="E46" s="19">
        <v>8.26</v>
      </c>
    </row>
    <row r="47" spans="1:6" ht="16.5" customHeight="1" x14ac:dyDescent="0.3">
      <c r="A47" s="17">
        <v>3</v>
      </c>
      <c r="B47" s="18">
        <v>167616800</v>
      </c>
      <c r="C47" s="18">
        <v>12854.3</v>
      </c>
      <c r="D47" s="19">
        <v>0.95</v>
      </c>
      <c r="E47" s="19">
        <v>8.27</v>
      </c>
    </row>
    <row r="48" spans="1:6" ht="16.5" customHeight="1" x14ac:dyDescent="0.3">
      <c r="A48" s="17">
        <v>4</v>
      </c>
      <c r="B48" s="18">
        <v>167556802</v>
      </c>
      <c r="C48" s="18">
        <v>12875.3</v>
      </c>
      <c r="D48" s="19">
        <v>0.94</v>
      </c>
      <c r="E48" s="19">
        <v>8.27</v>
      </c>
    </row>
    <row r="49" spans="1:7" ht="16.5" customHeight="1" x14ac:dyDescent="0.3">
      <c r="A49" s="17">
        <v>5</v>
      </c>
      <c r="B49" s="18">
        <v>167712293</v>
      </c>
      <c r="C49" s="18">
        <v>12920.2</v>
      </c>
      <c r="D49" s="19">
        <v>0.94</v>
      </c>
      <c r="E49" s="19">
        <v>8.27</v>
      </c>
    </row>
    <row r="50" spans="1:7" ht="16.5" customHeight="1" x14ac:dyDescent="0.3">
      <c r="A50" s="17">
        <v>6</v>
      </c>
      <c r="B50" s="21">
        <v>167869753</v>
      </c>
      <c r="C50" s="21">
        <v>12901.6</v>
      </c>
      <c r="D50" s="22">
        <v>0.96</v>
      </c>
      <c r="E50" s="22">
        <v>8.27</v>
      </c>
    </row>
    <row r="51" spans="1:7" ht="16.5" customHeight="1" x14ac:dyDescent="0.3">
      <c r="A51" s="23" t="s">
        <v>17</v>
      </c>
      <c r="B51" s="24">
        <f>AVERAGE(B45:B50)</f>
        <v>167479018.83333334</v>
      </c>
      <c r="C51" s="25">
        <f>AVERAGE(C45:C50)</f>
        <v>12864.6</v>
      </c>
      <c r="D51" s="26">
        <f>AVERAGE(D45:D50)</f>
        <v>0.94666666666666666</v>
      </c>
      <c r="E51" s="26">
        <f>AVERAGE(E45:E50)</f>
        <v>8.2649999999999988</v>
      </c>
    </row>
    <row r="52" spans="1:7" ht="16.5" customHeight="1" x14ac:dyDescent="0.3">
      <c r="A52" s="27" t="s">
        <v>18</v>
      </c>
      <c r="B52" s="28">
        <f>(STDEV(B45:B50)/B51)</f>
        <v>2.1746407895449891E-3</v>
      </c>
      <c r="C52" s="29"/>
      <c r="D52" s="29"/>
      <c r="E52" s="30"/>
      <c r="F52" s="2"/>
    </row>
    <row r="53" spans="1:7" s="2" customFormat="1" ht="16.5" customHeight="1" x14ac:dyDescent="0.3">
      <c r="A53" s="31" t="s">
        <v>19</v>
      </c>
      <c r="B53" s="32">
        <f>COUNT(B45:B50)</f>
        <v>6</v>
      </c>
      <c r="C53" s="33"/>
      <c r="D53" s="34"/>
      <c r="E53" s="35"/>
    </row>
    <row r="54" spans="1:7" s="2" customFormat="1" ht="15.75" customHeight="1" x14ac:dyDescent="0.25">
      <c r="A54" s="10"/>
      <c r="B54" s="10"/>
      <c r="C54" s="10"/>
      <c r="D54" s="10"/>
      <c r="E54" s="36"/>
    </row>
    <row r="55" spans="1:7" s="2" customFormat="1" ht="16.5" customHeight="1" x14ac:dyDescent="0.3">
      <c r="A55" s="11" t="s">
        <v>20</v>
      </c>
      <c r="B55" s="37" t="s">
        <v>21</v>
      </c>
      <c r="C55" s="38"/>
      <c r="D55" s="38"/>
      <c r="E55" s="39"/>
    </row>
    <row r="56" spans="1:7" ht="16.5" customHeight="1" x14ac:dyDescent="0.3">
      <c r="A56" s="11"/>
      <c r="B56" s="37" t="s">
        <v>22</v>
      </c>
      <c r="C56" s="38"/>
      <c r="D56" s="38"/>
      <c r="E56" s="39"/>
      <c r="F56" s="2"/>
    </row>
    <row r="57" spans="1:7" ht="16.5" customHeight="1" x14ac:dyDescent="0.3">
      <c r="A57" s="11"/>
      <c r="B57" s="40" t="s">
        <v>23</v>
      </c>
      <c r="C57" s="38"/>
      <c r="D57" s="39"/>
      <c r="E57" s="38"/>
    </row>
    <row r="58" spans="1:7" ht="14.25" customHeight="1" x14ac:dyDescent="0.25">
      <c r="A58" s="41"/>
      <c r="B58" s="42"/>
      <c r="D58" s="43"/>
      <c r="F58" s="44"/>
      <c r="G58" s="44"/>
    </row>
    <row r="59" spans="1:7" ht="15" customHeight="1" x14ac:dyDescent="0.3">
      <c r="B59" s="485" t="s">
        <v>25</v>
      </c>
      <c r="C59" s="485"/>
      <c r="E59" s="45" t="s">
        <v>26</v>
      </c>
      <c r="F59" s="46"/>
      <c r="G59" s="45" t="s">
        <v>27</v>
      </c>
    </row>
    <row r="60" spans="1:7" ht="15" customHeight="1" x14ac:dyDescent="0.3">
      <c r="A60" s="47" t="s">
        <v>28</v>
      </c>
      <c r="B60" s="48" t="s">
        <v>127</v>
      </c>
      <c r="C60" s="48"/>
      <c r="E60" s="48"/>
      <c r="F60" s="2"/>
      <c r="G60" s="49"/>
    </row>
    <row r="61" spans="1:7" ht="15" customHeight="1" x14ac:dyDescent="0.3">
      <c r="A61" s="47" t="s">
        <v>29</v>
      </c>
      <c r="B61" s="50"/>
      <c r="C61" s="50"/>
      <c r="E61" s="50"/>
      <c r="F61" s="2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4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view="pageBreakPreview" topLeftCell="A28" workbookViewId="0">
      <selection activeCell="D53" sqref="D53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489" t="s">
        <v>30</v>
      </c>
      <c r="B11" s="490"/>
      <c r="C11" s="490"/>
      <c r="D11" s="490"/>
      <c r="E11" s="490"/>
      <c r="F11" s="491"/>
      <c r="G11" s="91"/>
    </row>
    <row r="12" spans="1:7" ht="16.5" customHeight="1" x14ac:dyDescent="0.3">
      <c r="A12" s="488" t="s">
        <v>31</v>
      </c>
      <c r="B12" s="488"/>
      <c r="C12" s="488"/>
      <c r="D12" s="488"/>
      <c r="E12" s="488"/>
      <c r="F12" s="488"/>
      <c r="G12" s="90"/>
    </row>
    <row r="14" spans="1:7" ht="16.5" customHeight="1" x14ac:dyDescent="0.3">
      <c r="A14" s="493" t="s">
        <v>32</v>
      </c>
      <c r="B14" s="493"/>
      <c r="C14" s="60" t="s">
        <v>5</v>
      </c>
    </row>
    <row r="15" spans="1:7" ht="16.5" customHeight="1" x14ac:dyDescent="0.3">
      <c r="A15" s="493" t="s">
        <v>33</v>
      </c>
      <c r="B15" s="493"/>
      <c r="C15" s="60" t="s">
        <v>7</v>
      </c>
    </row>
    <row r="16" spans="1:7" ht="16.5" customHeight="1" x14ac:dyDescent="0.3">
      <c r="A16" s="493" t="s">
        <v>34</v>
      </c>
      <c r="B16" s="493"/>
      <c r="C16" s="60" t="s">
        <v>9</v>
      </c>
    </row>
    <row r="17" spans="1:5" ht="16.5" customHeight="1" x14ac:dyDescent="0.3">
      <c r="A17" s="493" t="s">
        <v>35</v>
      </c>
      <c r="B17" s="493"/>
      <c r="C17" s="60" t="s">
        <v>9</v>
      </c>
    </row>
    <row r="18" spans="1:5" ht="16.5" customHeight="1" x14ac:dyDescent="0.3">
      <c r="A18" s="493" t="s">
        <v>36</v>
      </c>
      <c r="B18" s="493"/>
      <c r="C18" s="97" t="s">
        <v>11</v>
      </c>
    </row>
    <row r="19" spans="1:5" ht="16.5" customHeight="1" x14ac:dyDescent="0.3">
      <c r="A19" s="493" t="s">
        <v>37</v>
      </c>
      <c r="B19" s="493"/>
      <c r="C19" s="97" t="e">
        <f>#REF!</f>
        <v>#REF!</v>
      </c>
    </row>
    <row r="20" spans="1:5" ht="16.5" customHeight="1" x14ac:dyDescent="0.3">
      <c r="A20" s="62"/>
      <c r="B20" s="62"/>
      <c r="C20" s="77"/>
    </row>
    <row r="21" spans="1:5" ht="16.5" customHeight="1" x14ac:dyDescent="0.3">
      <c r="A21" s="488" t="s">
        <v>1</v>
      </c>
      <c r="B21" s="488"/>
      <c r="C21" s="59" t="s">
        <v>38</v>
      </c>
      <c r="D21" s="66"/>
    </row>
    <row r="22" spans="1:5" ht="15.75" customHeight="1" x14ac:dyDescent="0.3">
      <c r="A22" s="492"/>
      <c r="B22" s="492"/>
      <c r="C22" s="57"/>
      <c r="D22" s="492"/>
      <c r="E22" s="492"/>
    </row>
    <row r="23" spans="1:5" ht="33.75" customHeight="1" x14ac:dyDescent="0.3">
      <c r="C23" s="86" t="s">
        <v>39</v>
      </c>
      <c r="D23" s="85" t="s">
        <v>40</v>
      </c>
      <c r="E23" s="52"/>
    </row>
    <row r="24" spans="1:5" ht="15.75" customHeight="1" x14ac:dyDescent="0.3">
      <c r="C24" s="95">
        <v>1041.3399999999999</v>
      </c>
      <c r="D24" s="87">
        <f t="shared" ref="D24:D43" si="0">(C24-$C$46)/$C$46</f>
        <v>1.7026270477216367E-3</v>
      </c>
      <c r="E24" s="53"/>
    </row>
    <row r="25" spans="1:5" ht="15.75" customHeight="1" x14ac:dyDescent="0.3">
      <c r="C25" s="95">
        <v>1028.02</v>
      </c>
      <c r="D25" s="88">
        <f t="shared" si="0"/>
        <v>-1.1110362938522616E-2</v>
      </c>
      <c r="E25" s="53"/>
    </row>
    <row r="26" spans="1:5" ht="15.75" customHeight="1" x14ac:dyDescent="0.3">
      <c r="C26" s="95">
        <v>1031.7</v>
      </c>
      <c r="D26" s="88">
        <f t="shared" si="0"/>
        <v>-7.5704377771577585E-3</v>
      </c>
      <c r="E26" s="53"/>
    </row>
    <row r="27" spans="1:5" ht="15.75" customHeight="1" x14ac:dyDescent="0.3">
      <c r="C27" s="95">
        <v>1046.28</v>
      </c>
      <c r="D27" s="88">
        <f t="shared" si="0"/>
        <v>6.4545918023798656E-3</v>
      </c>
      <c r="E27" s="53"/>
    </row>
    <row r="28" spans="1:5" ht="15.75" customHeight="1" x14ac:dyDescent="0.3">
      <c r="C28" s="95">
        <v>1044.5</v>
      </c>
      <c r="D28" s="88">
        <f t="shared" si="0"/>
        <v>4.7423453928067023E-3</v>
      </c>
      <c r="E28" s="53"/>
    </row>
    <row r="29" spans="1:5" ht="15.75" customHeight="1" x14ac:dyDescent="0.3">
      <c r="C29" s="95">
        <v>1044.44</v>
      </c>
      <c r="D29" s="88">
        <f t="shared" si="0"/>
        <v>4.6846292216975467E-3</v>
      </c>
      <c r="E29" s="53"/>
    </row>
    <row r="30" spans="1:5" ht="15.75" customHeight="1" x14ac:dyDescent="0.3">
      <c r="C30" s="95">
        <v>1045.56</v>
      </c>
      <c r="D30" s="88">
        <f t="shared" si="0"/>
        <v>5.7619977490693357E-3</v>
      </c>
      <c r="E30" s="53"/>
    </row>
    <row r="31" spans="1:5" ht="15.75" customHeight="1" x14ac:dyDescent="0.3">
      <c r="C31" s="95">
        <v>1045.93</v>
      </c>
      <c r="D31" s="88">
        <f t="shared" si="0"/>
        <v>6.1179141375762363E-3</v>
      </c>
      <c r="E31" s="53"/>
    </row>
    <row r="32" spans="1:5" ht="15.75" customHeight="1" x14ac:dyDescent="0.3">
      <c r="C32" s="95">
        <v>1031.25</v>
      </c>
      <c r="D32" s="88">
        <f t="shared" si="0"/>
        <v>-8.0033090604768667E-3</v>
      </c>
      <c r="E32" s="53"/>
    </row>
    <row r="33" spans="1:7" ht="15.75" customHeight="1" x14ac:dyDescent="0.3">
      <c r="C33" s="95">
        <v>1022.94</v>
      </c>
      <c r="D33" s="88">
        <f t="shared" si="0"/>
        <v>-1.599699875910221E-2</v>
      </c>
      <c r="E33" s="53"/>
    </row>
    <row r="34" spans="1:7" ht="15.75" customHeight="1" x14ac:dyDescent="0.3">
      <c r="C34" s="95">
        <v>1044.5</v>
      </c>
      <c r="D34" s="88">
        <f t="shared" si="0"/>
        <v>4.7423453928067023E-3</v>
      </c>
      <c r="E34" s="53"/>
    </row>
    <row r="35" spans="1:7" ht="15.75" customHeight="1" x14ac:dyDescent="0.3">
      <c r="C35" s="95">
        <v>1044.3900000000001</v>
      </c>
      <c r="D35" s="88">
        <f t="shared" si="0"/>
        <v>4.6365324124399169E-3</v>
      </c>
      <c r="E35" s="53"/>
    </row>
    <row r="36" spans="1:7" ht="15.75" customHeight="1" x14ac:dyDescent="0.3">
      <c r="C36" s="95">
        <v>1041.1600000000001</v>
      </c>
      <c r="D36" s="88">
        <f t="shared" si="0"/>
        <v>1.5294785343941684E-3</v>
      </c>
      <c r="E36" s="53"/>
    </row>
    <row r="37" spans="1:7" ht="15.75" customHeight="1" x14ac:dyDescent="0.3">
      <c r="C37" s="95">
        <v>1030.42</v>
      </c>
      <c r="D37" s="88">
        <f t="shared" si="0"/>
        <v>-8.8017160941541838E-3</v>
      </c>
      <c r="E37" s="53"/>
    </row>
    <row r="38" spans="1:7" ht="15.75" customHeight="1" x14ac:dyDescent="0.3">
      <c r="C38" s="95">
        <v>1041.43</v>
      </c>
      <c r="D38" s="88">
        <f t="shared" si="0"/>
        <v>1.7892013043855897E-3</v>
      </c>
      <c r="E38" s="53"/>
    </row>
    <row r="39" spans="1:7" ht="15.75" customHeight="1" x14ac:dyDescent="0.3">
      <c r="C39" s="95">
        <v>1029.54</v>
      </c>
      <c r="D39" s="88">
        <f t="shared" si="0"/>
        <v>-9.6482199370893484E-3</v>
      </c>
      <c r="E39" s="53"/>
    </row>
    <row r="40" spans="1:7" ht="15.75" customHeight="1" x14ac:dyDescent="0.3">
      <c r="C40" s="95">
        <v>1058.6199999999999</v>
      </c>
      <c r="D40" s="88">
        <f t="shared" si="0"/>
        <v>1.8324884327173694E-2</v>
      </c>
      <c r="E40" s="53"/>
    </row>
    <row r="41" spans="1:7" ht="15.75" customHeight="1" x14ac:dyDescent="0.3">
      <c r="C41" s="95">
        <v>1041.79</v>
      </c>
      <c r="D41" s="88">
        <f t="shared" si="0"/>
        <v>2.1354983310407452E-3</v>
      </c>
      <c r="E41" s="53"/>
    </row>
    <row r="42" spans="1:7" ht="15.75" customHeight="1" x14ac:dyDescent="0.3">
      <c r="C42" s="95">
        <v>1036.6099999999999</v>
      </c>
      <c r="D42" s="88">
        <f t="shared" si="0"/>
        <v>-2.847331108054327E-3</v>
      </c>
      <c r="E42" s="53"/>
    </row>
    <row r="43" spans="1:7" ht="16.5" customHeight="1" x14ac:dyDescent="0.3">
      <c r="C43" s="96">
        <v>1040.98</v>
      </c>
      <c r="D43" s="89">
        <f t="shared" si="0"/>
        <v>1.3563300210664812E-3</v>
      </c>
      <c r="E43" s="53"/>
    </row>
    <row r="44" spans="1:7" ht="16.5" customHeight="1" x14ac:dyDescent="0.3">
      <c r="C44" s="54"/>
      <c r="D44" s="53"/>
      <c r="E44" s="55"/>
    </row>
    <row r="45" spans="1:7" ht="16.5" customHeight="1" x14ac:dyDescent="0.3">
      <c r="B45" s="82" t="s">
        <v>41</v>
      </c>
      <c r="C45" s="83">
        <f>SUM(C24:C44)</f>
        <v>20791.399999999998</v>
      </c>
      <c r="D45" s="78"/>
      <c r="E45" s="54"/>
    </row>
    <row r="46" spans="1:7" ht="17.25" customHeight="1" x14ac:dyDescent="0.3">
      <c r="B46" s="82" t="s">
        <v>42</v>
      </c>
      <c r="C46" s="84">
        <f>AVERAGE(C24:C44)</f>
        <v>1039.57</v>
      </c>
      <c r="E46" s="56"/>
    </row>
    <row r="47" spans="1:7" ht="17.25" customHeight="1" x14ac:dyDescent="0.3">
      <c r="A47" s="60"/>
      <c r="B47" s="79"/>
      <c r="D47" s="58"/>
      <c r="E47" s="56"/>
    </row>
    <row r="48" spans="1:7" ht="33.75" customHeight="1" x14ac:dyDescent="0.3">
      <c r="B48" s="92" t="s">
        <v>42</v>
      </c>
      <c r="C48" s="85" t="s">
        <v>43</v>
      </c>
      <c r="D48" s="80"/>
      <c r="G48" s="58"/>
    </row>
    <row r="49" spans="1:6" ht="17.25" customHeight="1" x14ac:dyDescent="0.3">
      <c r="B49" s="486">
        <f>C46</f>
        <v>1039.57</v>
      </c>
      <c r="C49" s="93">
        <f>-IF(C46&lt;=80,10%,IF(C46&lt;250,7.5%,5%))</f>
        <v>-0.05</v>
      </c>
      <c r="D49" s="81">
        <f>IF(C46&lt;=80,C46*0.9,IF(C46&lt;250,C46*0.925,C46*0.95))</f>
        <v>987.59149999999988</v>
      </c>
    </row>
    <row r="50" spans="1:6" ht="17.25" customHeight="1" x14ac:dyDescent="0.3">
      <c r="B50" s="487"/>
      <c r="C50" s="94">
        <f>IF(C46&lt;=80, 10%, IF(C46&lt;250, 7.5%, 5%))</f>
        <v>0.05</v>
      </c>
      <c r="D50" s="81">
        <f>IF(C46&lt;=80, C46*1.1, IF(C46&lt;250, C46*1.075, C46*1.05))</f>
        <v>1091.5484999999999</v>
      </c>
    </row>
    <row r="51" spans="1:6" ht="16.5" customHeight="1" x14ac:dyDescent="0.3">
      <c r="A51" s="63"/>
      <c r="B51" s="64"/>
      <c r="C51" s="60"/>
      <c r="D51" s="65"/>
      <c r="E51" s="60"/>
      <c r="F51" s="66"/>
    </row>
    <row r="52" spans="1:6" ht="16.5" customHeight="1" x14ac:dyDescent="0.3">
      <c r="A52" s="60"/>
      <c r="B52" s="67" t="s">
        <v>25</v>
      </c>
      <c r="C52" s="67"/>
      <c r="D52" s="68" t="s">
        <v>26</v>
      </c>
      <c r="E52" s="69"/>
      <c r="F52" s="68" t="s">
        <v>27</v>
      </c>
    </row>
    <row r="53" spans="1:6" ht="34.5" customHeight="1" x14ac:dyDescent="0.3">
      <c r="A53" s="70" t="s">
        <v>28</v>
      </c>
      <c r="B53" s="71" t="s">
        <v>127</v>
      </c>
      <c r="C53" s="72"/>
      <c r="D53" s="71"/>
      <c r="E53" s="61"/>
      <c r="F53" s="73"/>
    </row>
    <row r="54" spans="1:6" ht="34.5" customHeight="1" x14ac:dyDescent="0.3">
      <c r="A54" s="70" t="s">
        <v>29</v>
      </c>
      <c r="B54" s="74"/>
      <c r="C54" s="75"/>
      <c r="D54" s="74"/>
      <c r="E54" s="61"/>
      <c r="F54" s="76"/>
    </row>
  </sheetData>
  <sheetProtection formatCells="0" formatColumns="0" formatRows="0" insertColumns="0" insertRows="0" insertHyperlinks="0" deleteColumns="0" deleteRows="0" sort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36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35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34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33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32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31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30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29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28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27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26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25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24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23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22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21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20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19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18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7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16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9" orientation="portrait" r:id="rId1"/>
  <headerFooter alignWithMargins="0"/>
  <colBreaks count="1" manualBreakCount="1">
    <brk id="6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5:N250"/>
  <sheetViews>
    <sheetView view="pageBreakPreview" topLeftCell="B1" zoomScale="60" zoomScaleNormal="60" workbookViewId="0">
      <selection activeCell="F91" sqref="F91:F93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5" spans="1:8" ht="19.5" customHeight="1" x14ac:dyDescent="0.3">
      <c r="A15" s="98"/>
    </row>
    <row r="16" spans="1:8" ht="19.5" customHeight="1" x14ac:dyDescent="0.3">
      <c r="A16" s="526" t="s">
        <v>30</v>
      </c>
      <c r="B16" s="527"/>
      <c r="C16" s="527"/>
      <c r="D16" s="527"/>
      <c r="E16" s="527"/>
      <c r="F16" s="527"/>
      <c r="G16" s="527"/>
      <c r="H16" s="528"/>
    </row>
    <row r="17" spans="1:14" ht="20.25" customHeight="1" x14ac:dyDescent="0.25">
      <c r="A17" s="529" t="s">
        <v>44</v>
      </c>
      <c r="B17" s="529"/>
      <c r="C17" s="529"/>
      <c r="D17" s="529"/>
      <c r="E17" s="529"/>
      <c r="F17" s="529"/>
      <c r="G17" s="529"/>
      <c r="H17" s="529"/>
    </row>
    <row r="18" spans="1:14" ht="26.25" customHeight="1" x14ac:dyDescent="0.4">
      <c r="A18" s="100" t="s">
        <v>32</v>
      </c>
      <c r="B18" s="525" t="s">
        <v>5</v>
      </c>
      <c r="C18" s="525"/>
      <c r="D18" s="272"/>
      <c r="E18" s="101"/>
      <c r="F18" s="102"/>
      <c r="G18" s="102"/>
      <c r="H18" s="102"/>
    </row>
    <row r="19" spans="1:14" ht="26.25" customHeight="1" x14ac:dyDescent="0.4">
      <c r="A19" s="100" t="s">
        <v>33</v>
      </c>
      <c r="B19" s="103" t="s">
        <v>7</v>
      </c>
      <c r="C19" s="102">
        <v>1</v>
      </c>
      <c r="D19" s="102"/>
      <c r="E19" s="102"/>
      <c r="F19" s="102"/>
      <c r="G19" s="102"/>
      <c r="H19" s="102"/>
    </row>
    <row r="20" spans="1:14" ht="26.25" customHeight="1" x14ac:dyDescent="0.4">
      <c r="A20" s="100" t="s">
        <v>34</v>
      </c>
      <c r="B20" s="530" t="s">
        <v>9</v>
      </c>
      <c r="C20" s="530"/>
      <c r="D20" s="102"/>
      <c r="E20" s="102"/>
      <c r="F20" s="102"/>
      <c r="G20" s="102"/>
      <c r="H20" s="102"/>
    </row>
    <row r="21" spans="1:14" ht="26.25" customHeight="1" x14ac:dyDescent="0.4">
      <c r="A21" s="100" t="s">
        <v>35</v>
      </c>
      <c r="B21" s="530" t="s">
        <v>9</v>
      </c>
      <c r="C21" s="530"/>
      <c r="D21" s="530"/>
      <c r="E21" s="530"/>
      <c r="F21" s="530"/>
      <c r="G21" s="530"/>
      <c r="H21" s="530"/>
      <c r="I21" s="104"/>
    </row>
    <row r="22" spans="1:14" ht="26.25" customHeight="1" x14ac:dyDescent="0.4">
      <c r="A22" s="100" t="s">
        <v>36</v>
      </c>
      <c r="B22" s="105" t="s">
        <v>124</v>
      </c>
      <c r="C22" s="102"/>
      <c r="D22" s="102"/>
      <c r="E22" s="102"/>
      <c r="F22" s="102"/>
      <c r="G22" s="102"/>
      <c r="H22" s="102"/>
    </row>
    <row r="23" spans="1:14" ht="26.25" customHeight="1" x14ac:dyDescent="0.4">
      <c r="A23" s="100" t="s">
        <v>37</v>
      </c>
      <c r="B23" s="105"/>
      <c r="C23" s="102"/>
      <c r="D23" s="102"/>
      <c r="E23" s="102"/>
      <c r="F23" s="102"/>
      <c r="G23" s="102"/>
      <c r="H23" s="102"/>
    </row>
    <row r="24" spans="1:14" ht="18.75" x14ac:dyDescent="0.3">
      <c r="A24" s="100"/>
      <c r="B24" s="106"/>
    </row>
    <row r="25" spans="1:14" ht="18.75" x14ac:dyDescent="0.3">
      <c r="A25" s="107" t="s">
        <v>1</v>
      </c>
      <c r="B25" s="106"/>
    </row>
    <row r="26" spans="1:14" ht="26.25" customHeight="1" x14ac:dyDescent="0.4">
      <c r="A26" s="108" t="s">
        <v>4</v>
      </c>
      <c r="B26" s="525" t="s">
        <v>122</v>
      </c>
      <c r="C26" s="525"/>
    </row>
    <row r="27" spans="1:14" ht="26.25" customHeight="1" x14ac:dyDescent="0.4">
      <c r="A27" s="109" t="s">
        <v>45</v>
      </c>
      <c r="B27" s="523" t="s">
        <v>123</v>
      </c>
      <c r="C27" s="523"/>
    </row>
    <row r="28" spans="1:14" ht="27" customHeight="1" x14ac:dyDescent="0.4">
      <c r="A28" s="109" t="s">
        <v>6</v>
      </c>
      <c r="B28" s="110">
        <v>99.58</v>
      </c>
    </row>
    <row r="29" spans="1:14" s="14" customFormat="1" ht="27" customHeight="1" x14ac:dyDescent="0.4">
      <c r="A29" s="109" t="s">
        <v>46</v>
      </c>
      <c r="B29" s="111">
        <v>0</v>
      </c>
      <c r="C29" s="500" t="s">
        <v>47</v>
      </c>
      <c r="D29" s="501"/>
      <c r="E29" s="501"/>
      <c r="F29" s="501"/>
      <c r="G29" s="502"/>
      <c r="I29" s="112"/>
      <c r="J29" s="112"/>
      <c r="K29" s="112"/>
      <c r="L29" s="112"/>
    </row>
    <row r="30" spans="1:14" s="14" customFormat="1" ht="19.5" customHeight="1" x14ac:dyDescent="0.3">
      <c r="A30" s="109" t="s">
        <v>48</v>
      </c>
      <c r="B30" s="113">
        <f>B28-B29</f>
        <v>99.58</v>
      </c>
      <c r="C30" s="114"/>
      <c r="D30" s="114"/>
      <c r="E30" s="114"/>
      <c r="F30" s="114"/>
      <c r="G30" s="115"/>
      <c r="I30" s="112"/>
      <c r="J30" s="112"/>
      <c r="K30" s="112"/>
      <c r="L30" s="112"/>
    </row>
    <row r="31" spans="1:14" s="14" customFormat="1" ht="27" customHeight="1" x14ac:dyDescent="0.4">
      <c r="A31" s="109" t="s">
        <v>49</v>
      </c>
      <c r="B31" s="116">
        <v>1</v>
      </c>
      <c r="C31" s="503" t="s">
        <v>50</v>
      </c>
      <c r="D31" s="504"/>
      <c r="E31" s="504"/>
      <c r="F31" s="504"/>
      <c r="G31" s="504"/>
      <c r="H31" s="505"/>
      <c r="I31" s="112"/>
      <c r="J31" s="112"/>
      <c r="K31" s="112"/>
      <c r="L31" s="112"/>
    </row>
    <row r="32" spans="1:14" s="14" customFormat="1" ht="27" customHeight="1" x14ac:dyDescent="0.4">
      <c r="A32" s="109" t="s">
        <v>51</v>
      </c>
      <c r="B32" s="116">
        <v>1</v>
      </c>
      <c r="C32" s="503" t="s">
        <v>52</v>
      </c>
      <c r="D32" s="504"/>
      <c r="E32" s="504"/>
      <c r="F32" s="504"/>
      <c r="G32" s="504"/>
      <c r="H32" s="505"/>
      <c r="I32" s="112"/>
      <c r="J32" s="112"/>
      <c r="K32" s="112"/>
      <c r="L32" s="117"/>
      <c r="M32" s="117"/>
      <c r="N32" s="118"/>
    </row>
    <row r="33" spans="1:14" s="14" customFormat="1" ht="17.25" customHeight="1" x14ac:dyDescent="0.3">
      <c r="A33" s="109"/>
      <c r="B33" s="119"/>
      <c r="C33" s="120"/>
      <c r="D33" s="120"/>
      <c r="E33" s="120"/>
      <c r="F33" s="120"/>
      <c r="G33" s="120"/>
      <c r="H33" s="120"/>
      <c r="I33" s="112"/>
      <c r="J33" s="112"/>
      <c r="K33" s="112"/>
      <c r="L33" s="117"/>
      <c r="M33" s="117"/>
      <c r="N33" s="118"/>
    </row>
    <row r="34" spans="1:14" s="14" customFormat="1" ht="18.75" x14ac:dyDescent="0.3">
      <c r="A34" s="109" t="s">
        <v>53</v>
      </c>
      <c r="B34" s="121">
        <f>B31/B32</f>
        <v>1</v>
      </c>
      <c r="C34" s="99" t="s">
        <v>54</v>
      </c>
      <c r="D34" s="99"/>
      <c r="E34" s="99"/>
      <c r="F34" s="99"/>
      <c r="G34" s="99"/>
      <c r="I34" s="112"/>
      <c r="J34" s="112"/>
      <c r="K34" s="112"/>
      <c r="L34" s="117"/>
      <c r="M34" s="117"/>
      <c r="N34" s="118"/>
    </row>
    <row r="35" spans="1:14" s="14" customFormat="1" ht="19.5" customHeight="1" x14ac:dyDescent="0.3">
      <c r="A35" s="109"/>
      <c r="B35" s="113"/>
      <c r="G35" s="99"/>
      <c r="I35" s="112"/>
      <c r="J35" s="112"/>
      <c r="K35" s="112"/>
      <c r="L35" s="117"/>
      <c r="M35" s="117"/>
      <c r="N35" s="118"/>
    </row>
    <row r="36" spans="1:14" s="14" customFormat="1" ht="27" customHeight="1" x14ac:dyDescent="0.4">
      <c r="A36" s="122" t="s">
        <v>55</v>
      </c>
      <c r="B36" s="123">
        <v>50</v>
      </c>
      <c r="C36" s="99"/>
      <c r="D36" s="506" t="s">
        <v>56</v>
      </c>
      <c r="E36" s="524"/>
      <c r="F36" s="506" t="s">
        <v>57</v>
      </c>
      <c r="G36" s="507"/>
      <c r="J36" s="112"/>
      <c r="K36" s="112"/>
      <c r="L36" s="117"/>
      <c r="M36" s="117"/>
      <c r="N36" s="118"/>
    </row>
    <row r="37" spans="1:14" s="14" customFormat="1" ht="27" customHeight="1" x14ac:dyDescent="0.4">
      <c r="A37" s="124" t="s">
        <v>58</v>
      </c>
      <c r="B37" s="125">
        <v>10</v>
      </c>
      <c r="C37" s="126" t="s">
        <v>59</v>
      </c>
      <c r="D37" s="127" t="s">
        <v>60</v>
      </c>
      <c r="E37" s="128" t="s">
        <v>61</v>
      </c>
      <c r="F37" s="127" t="s">
        <v>60</v>
      </c>
      <c r="G37" s="129" t="s">
        <v>61</v>
      </c>
      <c r="I37" s="130" t="s">
        <v>62</v>
      </c>
      <c r="J37" s="112"/>
      <c r="K37" s="112"/>
      <c r="L37" s="117"/>
      <c r="M37" s="117"/>
      <c r="N37" s="118"/>
    </row>
    <row r="38" spans="1:14" s="14" customFormat="1" ht="26.25" customHeight="1" x14ac:dyDescent="0.4">
      <c r="A38" s="124" t="s">
        <v>63</v>
      </c>
      <c r="B38" s="125">
        <v>20</v>
      </c>
      <c r="C38" s="131">
        <v>1</v>
      </c>
      <c r="D38" s="457">
        <v>125159327</v>
      </c>
      <c r="E38" s="463">
        <f>IF(ISBLANK(D38),"-",$D$48/$D$45*D38)</f>
        <v>121583761.35027091</v>
      </c>
      <c r="F38" s="457">
        <v>136444256</v>
      </c>
      <c r="G38" s="465">
        <f>IF(ISBLANK(F38),"-",$D$48/$F$45*F38)</f>
        <v>121727696.97136635</v>
      </c>
      <c r="I38" s="135"/>
      <c r="J38" s="112"/>
      <c r="K38" s="112"/>
      <c r="L38" s="117"/>
      <c r="M38" s="117"/>
      <c r="N38" s="118"/>
    </row>
    <row r="39" spans="1:14" s="14" customFormat="1" ht="26.25" customHeight="1" x14ac:dyDescent="0.4">
      <c r="A39" s="124" t="s">
        <v>64</v>
      </c>
      <c r="B39" s="125">
        <v>1</v>
      </c>
      <c r="C39" s="136">
        <v>2</v>
      </c>
      <c r="D39" s="458">
        <v>125240612</v>
      </c>
      <c r="E39" s="464">
        <f>IF(ISBLANK(D39),"-",$D$48/$D$45*D39)</f>
        <v>121662724.19130118</v>
      </c>
      <c r="F39" s="458">
        <v>136489507</v>
      </c>
      <c r="G39" s="466">
        <f>IF(ISBLANK(F39),"-",$D$48/$F$45*F39)</f>
        <v>121768067.30410978</v>
      </c>
      <c r="I39" s="508">
        <f>ABS((F43/D43*D42)-F42)/D42</f>
        <v>1.7446153299057975E-3</v>
      </c>
      <c r="J39" s="112"/>
      <c r="K39" s="112"/>
      <c r="L39" s="117"/>
      <c r="M39" s="117"/>
      <c r="N39" s="118"/>
    </row>
    <row r="40" spans="1:14" ht="26.25" customHeight="1" x14ac:dyDescent="0.4">
      <c r="A40" s="124" t="s">
        <v>65</v>
      </c>
      <c r="B40" s="125">
        <v>1</v>
      </c>
      <c r="C40" s="136">
        <v>3</v>
      </c>
      <c r="D40" s="458">
        <v>125048816</v>
      </c>
      <c r="E40" s="464">
        <f>IF(ISBLANK(D40),"-",$D$48/$D$45*D40)</f>
        <v>121476407.44087684</v>
      </c>
      <c r="F40" s="458">
        <v>136538184</v>
      </c>
      <c r="G40" s="466">
        <f>IF(ISBLANK(F40),"-",$D$48/$F$45*F40)</f>
        <v>121811494.11648858</v>
      </c>
      <c r="I40" s="508"/>
      <c r="L40" s="117"/>
      <c r="M40" s="117"/>
      <c r="N40" s="140"/>
    </row>
    <row r="41" spans="1:14" ht="27" customHeight="1" x14ac:dyDescent="0.4">
      <c r="A41" s="124" t="s">
        <v>66</v>
      </c>
      <c r="B41" s="125">
        <v>1</v>
      </c>
      <c r="C41" s="141">
        <v>4</v>
      </c>
      <c r="D41" s="142"/>
      <c r="E41" s="143" t="str">
        <f>IF(ISBLANK(D41),"-",$D$48/$D$45*D41)</f>
        <v>-</v>
      </c>
      <c r="F41" s="142"/>
      <c r="G41" s="144" t="str">
        <f>IF(ISBLANK(F41),"-",$D$48/$F$45*F41)</f>
        <v>-</v>
      </c>
      <c r="I41" s="145"/>
      <c r="L41" s="117"/>
      <c r="M41" s="117"/>
      <c r="N41" s="140"/>
    </row>
    <row r="42" spans="1:14" ht="27" customHeight="1" x14ac:dyDescent="0.4">
      <c r="A42" s="124" t="s">
        <v>67</v>
      </c>
      <c r="B42" s="125">
        <v>1</v>
      </c>
      <c r="C42" s="146" t="s">
        <v>68</v>
      </c>
      <c r="D42" s="467">
        <f>AVERAGE(D38:D41)</f>
        <v>125149585</v>
      </c>
      <c r="E42" s="475">
        <f>AVERAGE(E38:E41)</f>
        <v>121574297.66081631</v>
      </c>
      <c r="F42" s="467">
        <f>AVERAGE(F38:F41)</f>
        <v>136490649</v>
      </c>
      <c r="G42" s="476">
        <f>AVERAGE(G38:G41)</f>
        <v>121769086.13065489</v>
      </c>
      <c r="H42" s="148"/>
    </row>
    <row r="43" spans="1:14" ht="26.25" customHeight="1" x14ac:dyDescent="0.4">
      <c r="A43" s="124" t="s">
        <v>69</v>
      </c>
      <c r="B43" s="125">
        <v>1</v>
      </c>
      <c r="C43" s="149" t="s">
        <v>70</v>
      </c>
      <c r="D43" s="460">
        <v>16.54</v>
      </c>
      <c r="E43" s="456"/>
      <c r="F43" s="460">
        <v>18.010000000000002</v>
      </c>
      <c r="G43" s="456"/>
      <c r="H43" s="148"/>
    </row>
    <row r="44" spans="1:14" ht="26.25" customHeight="1" x14ac:dyDescent="0.4">
      <c r="A44" s="124" t="s">
        <v>71</v>
      </c>
      <c r="B44" s="125">
        <v>1</v>
      </c>
      <c r="C44" s="151" t="s">
        <v>72</v>
      </c>
      <c r="D44" s="468">
        <f>D43*$B$34</f>
        <v>16.54</v>
      </c>
      <c r="E44" s="477"/>
      <c r="F44" s="468">
        <f>F43*$B$34</f>
        <v>18.010000000000002</v>
      </c>
      <c r="G44" s="456"/>
      <c r="H44" s="148"/>
    </row>
    <row r="45" spans="1:14" ht="19.5" customHeight="1" x14ac:dyDescent="0.4">
      <c r="A45" s="124" t="s">
        <v>73</v>
      </c>
      <c r="B45" s="154">
        <f>(B44/B43)*(B42/B41)*(B40/B39)*(B38/B37)*B36</f>
        <v>100</v>
      </c>
      <c r="C45" s="151" t="s">
        <v>74</v>
      </c>
      <c r="D45" s="469">
        <f>D44*$B$30/100</f>
        <v>16.470531999999999</v>
      </c>
      <c r="E45" s="478"/>
      <c r="F45" s="469">
        <f>F44*$B$30/100</f>
        <v>17.934358000000003</v>
      </c>
      <c r="G45" s="456"/>
      <c r="H45" s="148"/>
    </row>
    <row r="46" spans="1:14" ht="19.5" customHeight="1" x14ac:dyDescent="0.4">
      <c r="A46" s="494" t="s">
        <v>75</v>
      </c>
      <c r="B46" s="495"/>
      <c r="C46" s="151" t="s">
        <v>76</v>
      </c>
      <c r="D46" s="470">
        <f>D45/$B$45</f>
        <v>0.16470531999999999</v>
      </c>
      <c r="E46" s="479"/>
      <c r="F46" s="480">
        <f>F45/$B$45</f>
        <v>0.17934358000000003</v>
      </c>
      <c r="G46" s="456"/>
      <c r="H46" s="148"/>
    </row>
    <row r="47" spans="1:14" ht="27" customHeight="1" x14ac:dyDescent="0.4">
      <c r="A47" s="496"/>
      <c r="B47" s="497"/>
      <c r="C47" s="159" t="s">
        <v>77</v>
      </c>
      <c r="D47" s="461">
        <v>0.16</v>
      </c>
      <c r="E47" s="160"/>
      <c r="F47" s="157"/>
      <c r="H47" s="148"/>
    </row>
    <row r="48" spans="1:14" ht="26.25" x14ac:dyDescent="0.4">
      <c r="C48" s="161" t="s">
        <v>78</v>
      </c>
      <c r="D48" s="469">
        <f>D47*$B$45</f>
        <v>16</v>
      </c>
      <c r="F48" s="162"/>
      <c r="H48" s="148"/>
    </row>
    <row r="49" spans="1:12" ht="19.5" customHeight="1" x14ac:dyDescent="0.4">
      <c r="C49" s="163" t="s">
        <v>79</v>
      </c>
      <c r="D49" s="471">
        <f>D48/B34</f>
        <v>16</v>
      </c>
      <c r="F49" s="162"/>
      <c r="H49" s="148"/>
    </row>
    <row r="50" spans="1:12" ht="26.25" x14ac:dyDescent="0.4">
      <c r="C50" s="122" t="s">
        <v>80</v>
      </c>
      <c r="D50" s="472">
        <f>AVERAGE(E38:E41,G38:G41)</f>
        <v>121671691.89573561</v>
      </c>
      <c r="F50" s="164"/>
      <c r="H50" s="148"/>
    </row>
    <row r="51" spans="1:12" ht="26.25" x14ac:dyDescent="0.4">
      <c r="C51" s="124" t="s">
        <v>81</v>
      </c>
      <c r="D51" s="473">
        <f>STDEV(E38:E41,G38:G41)/D50</f>
        <v>1.0259906964363058E-3</v>
      </c>
      <c r="F51" s="164"/>
      <c r="H51" s="148"/>
    </row>
    <row r="52" spans="1:12" ht="19.5" customHeight="1" x14ac:dyDescent="0.4">
      <c r="C52" s="165" t="s">
        <v>19</v>
      </c>
      <c r="D52" s="474">
        <f>COUNT(E38:E41,G38:G41)</f>
        <v>6</v>
      </c>
      <c r="F52" s="164"/>
    </row>
    <row r="54" spans="1:12" ht="18.75" x14ac:dyDescent="0.3">
      <c r="A54" s="166" t="s">
        <v>1</v>
      </c>
      <c r="B54" s="167" t="s">
        <v>82</v>
      </c>
    </row>
    <row r="55" spans="1:12" ht="18.75" x14ac:dyDescent="0.3">
      <c r="A55" s="99" t="s">
        <v>83</v>
      </c>
      <c r="B55" s="168" t="str">
        <f>B21</f>
        <v>Sulphamethoxazole 800 mg, Trimethoprim 160 mg</v>
      </c>
    </row>
    <row r="56" spans="1:12" ht="26.25" customHeight="1" x14ac:dyDescent="0.4">
      <c r="A56" s="169" t="s">
        <v>84</v>
      </c>
      <c r="B56" s="170">
        <v>800</v>
      </c>
      <c r="C56" s="99" t="str">
        <f>B20</f>
        <v>Sulphamethoxazole 800 mg, Trimethoprim 160 mg</v>
      </c>
      <c r="H56" s="171"/>
    </row>
    <row r="57" spans="1:12" ht="18.75" x14ac:dyDescent="0.3">
      <c r="A57" s="168" t="s">
        <v>85</v>
      </c>
      <c r="B57" s="172">
        <f>Uniformity!C46</f>
        <v>1039.57</v>
      </c>
      <c r="H57" s="171"/>
    </row>
    <row r="58" spans="1:12" ht="19.5" customHeight="1" x14ac:dyDescent="0.3">
      <c r="H58" s="171"/>
    </row>
    <row r="59" spans="1:12" s="14" customFormat="1" ht="27" customHeight="1" x14ac:dyDescent="0.4">
      <c r="A59" s="122" t="s">
        <v>86</v>
      </c>
      <c r="B59" s="123">
        <v>100</v>
      </c>
      <c r="C59" s="99"/>
      <c r="D59" s="173" t="s">
        <v>87</v>
      </c>
      <c r="E59" s="174" t="s">
        <v>59</v>
      </c>
      <c r="F59" s="174" t="s">
        <v>60</v>
      </c>
      <c r="G59" s="174" t="s">
        <v>88</v>
      </c>
      <c r="H59" s="126" t="s">
        <v>89</v>
      </c>
      <c r="L59" s="112"/>
    </row>
    <row r="60" spans="1:12" s="14" customFormat="1" ht="26.25" customHeight="1" x14ac:dyDescent="0.4">
      <c r="A60" s="124" t="s">
        <v>90</v>
      </c>
      <c r="B60" s="125">
        <v>2</v>
      </c>
      <c r="C60" s="511" t="s">
        <v>91</v>
      </c>
      <c r="D60" s="514">
        <v>522.26</v>
      </c>
      <c r="E60" s="175">
        <v>1</v>
      </c>
      <c r="F60" s="176">
        <v>118651986</v>
      </c>
      <c r="G60" s="177">
        <f>IF(ISBLANK(F60),"-",(F60/$D$50*$D$47*$B$68)*($B$57/$D$60))</f>
        <v>776.4480967319987</v>
      </c>
      <c r="H60" s="178">
        <f t="shared" ref="H60:H71" si="0">IF(ISBLANK(F60),"-",G60/$B$56)</f>
        <v>0.97056012091499833</v>
      </c>
      <c r="L60" s="112"/>
    </row>
    <row r="61" spans="1:12" s="14" customFormat="1" ht="26.25" customHeight="1" x14ac:dyDescent="0.4">
      <c r="A61" s="124" t="s">
        <v>92</v>
      </c>
      <c r="B61" s="125">
        <v>50</v>
      </c>
      <c r="C61" s="512"/>
      <c r="D61" s="515"/>
      <c r="E61" s="179">
        <v>2</v>
      </c>
      <c r="F61" s="137">
        <v>118459411</v>
      </c>
      <c r="G61" s="180">
        <f>IF(ISBLANK(F61),"-",(F61/$D$50*$D$47*$B$68)*($B$57/$D$60))</f>
        <v>775.18790297318401</v>
      </c>
      <c r="H61" s="181">
        <f>IF(ISBLANK(F61),"-",G61/$B$56)</f>
        <v>0.96898487871647998</v>
      </c>
      <c r="L61" s="112"/>
    </row>
    <row r="62" spans="1:12" s="14" customFormat="1" ht="26.25" customHeight="1" x14ac:dyDescent="0.4">
      <c r="A62" s="124" t="s">
        <v>93</v>
      </c>
      <c r="B62" s="125">
        <v>1</v>
      </c>
      <c r="C62" s="512"/>
      <c r="D62" s="515"/>
      <c r="E62" s="179">
        <v>3</v>
      </c>
      <c r="F62" s="182">
        <v>118230315</v>
      </c>
      <c r="G62" s="180">
        <f>IF(ISBLANK(F62),"-",(F62/$D$50*$D$47*$B$68)*($B$57/$D$60))</f>
        <v>773.68871902215506</v>
      </c>
      <c r="H62" s="181">
        <f t="shared" si="0"/>
        <v>0.96711089877769385</v>
      </c>
      <c r="L62" s="112"/>
    </row>
    <row r="63" spans="1:12" ht="27" customHeight="1" x14ac:dyDescent="0.4">
      <c r="A63" s="124" t="s">
        <v>94</v>
      </c>
      <c r="B63" s="125">
        <v>1</v>
      </c>
      <c r="C63" s="522"/>
      <c r="D63" s="516"/>
      <c r="E63" s="183">
        <v>4</v>
      </c>
      <c r="F63" s="184"/>
      <c r="G63" s="180" t="str">
        <f>IF(ISBLANK(F63),"-",(F63/$D$50*$D$47*$B$68)*($B$57/$D$60))</f>
        <v>-</v>
      </c>
      <c r="H63" s="181" t="str">
        <f t="shared" si="0"/>
        <v>-</v>
      </c>
    </row>
    <row r="64" spans="1:12" ht="26.25" customHeight="1" x14ac:dyDescent="0.4">
      <c r="A64" s="124" t="s">
        <v>95</v>
      </c>
      <c r="B64" s="125">
        <v>1</v>
      </c>
      <c r="C64" s="511" t="s">
        <v>96</v>
      </c>
      <c r="D64" s="514">
        <v>519.35</v>
      </c>
      <c r="E64" s="175">
        <v>1</v>
      </c>
      <c r="F64" s="176">
        <v>113056580</v>
      </c>
      <c r="G64" s="185">
        <f>IF(ISBLANK(F64),"-",(F64/$D$50*$D$47*$B$68)*($B$57/$D$64))</f>
        <v>743.97765187744767</v>
      </c>
      <c r="H64" s="186">
        <f>IF(ISBLANK(F64),"-",G64/$B$56)</f>
        <v>0.92997206484680961</v>
      </c>
    </row>
    <row r="65" spans="1:8" ht="26.25" customHeight="1" x14ac:dyDescent="0.4">
      <c r="A65" s="124" t="s">
        <v>97</v>
      </c>
      <c r="B65" s="125">
        <v>1</v>
      </c>
      <c r="C65" s="512"/>
      <c r="D65" s="515"/>
      <c r="E65" s="179">
        <v>2</v>
      </c>
      <c r="F65" s="137">
        <v>113141215</v>
      </c>
      <c r="G65" s="187">
        <f>IF(ISBLANK(F65),"-",(F65/$D$50*$D$47*$B$68)*($B$57/$D$64))</f>
        <v>744.53459910304616</v>
      </c>
      <c r="H65" s="188">
        <f t="shared" si="0"/>
        <v>0.93066824887880772</v>
      </c>
    </row>
    <row r="66" spans="1:8" ht="26.25" customHeight="1" x14ac:dyDescent="0.4">
      <c r="A66" s="124" t="s">
        <v>98</v>
      </c>
      <c r="B66" s="125">
        <v>1</v>
      </c>
      <c r="C66" s="512"/>
      <c r="D66" s="515"/>
      <c r="E66" s="179">
        <v>3</v>
      </c>
      <c r="F66" s="137">
        <v>112959434</v>
      </c>
      <c r="G66" s="187">
        <f>IF(ISBLANK(F66),"-",(F66/$D$50*$D$47*$B$68)*($B$57/$D$64))</f>
        <v>743.3383750395202</v>
      </c>
      <c r="H66" s="188">
        <f t="shared" si="0"/>
        <v>0.92917296879940026</v>
      </c>
    </row>
    <row r="67" spans="1:8" ht="27" customHeight="1" x14ac:dyDescent="0.4">
      <c r="A67" s="124" t="s">
        <v>99</v>
      </c>
      <c r="B67" s="125">
        <v>1</v>
      </c>
      <c r="C67" s="522"/>
      <c r="D67" s="516"/>
      <c r="E67" s="183">
        <v>4</v>
      </c>
      <c r="F67" s="184"/>
      <c r="G67" s="189" t="str">
        <f>IF(ISBLANK(F67),"-",(F67/$D$50*$D$47*$B$68)*($B$57/$D$64))</f>
        <v>-</v>
      </c>
      <c r="H67" s="190" t="str">
        <f t="shared" si="0"/>
        <v>-</v>
      </c>
    </row>
    <row r="68" spans="1:8" ht="26.25" customHeight="1" x14ac:dyDescent="0.4">
      <c r="A68" s="124" t="s">
        <v>100</v>
      </c>
      <c r="B68" s="191">
        <f>(B67/B66)*(B65/B64)*(B63/B62)*(B61/B60)*B59</f>
        <v>2500</v>
      </c>
      <c r="C68" s="511" t="s">
        <v>101</v>
      </c>
      <c r="D68" s="514">
        <v>519.08000000000004</v>
      </c>
      <c r="E68" s="175">
        <v>1</v>
      </c>
      <c r="F68" s="176">
        <v>117044912</v>
      </c>
      <c r="G68" s="185">
        <f>IF(ISBLANK(F68),"-",(F68/$D$50*$D$47*$B$68)*($B$57/$D$68))</f>
        <v>770.62381438929026</v>
      </c>
      <c r="H68" s="181">
        <f t="shared" si="0"/>
        <v>0.96327976798661286</v>
      </c>
    </row>
    <row r="69" spans="1:8" ht="27" customHeight="1" x14ac:dyDescent="0.4">
      <c r="A69" s="165" t="s">
        <v>102</v>
      </c>
      <c r="B69" s="192">
        <f>(D47*B68)/B56*B57</f>
        <v>519.78499999999997</v>
      </c>
      <c r="C69" s="512"/>
      <c r="D69" s="515"/>
      <c r="E69" s="179">
        <v>2</v>
      </c>
      <c r="F69" s="137">
        <v>117225600</v>
      </c>
      <c r="G69" s="187">
        <f>IF(ISBLANK(F69),"-",(F69/$D$50*$D$47*$B$68)*($B$57/$D$68))</f>
        <v>771.8134643569399</v>
      </c>
      <c r="H69" s="181">
        <f t="shared" si="0"/>
        <v>0.96476683044617484</v>
      </c>
    </row>
    <row r="70" spans="1:8" ht="26.25" customHeight="1" x14ac:dyDescent="0.4">
      <c r="A70" s="517" t="s">
        <v>75</v>
      </c>
      <c r="B70" s="518"/>
      <c r="C70" s="512"/>
      <c r="D70" s="515"/>
      <c r="E70" s="179">
        <v>3</v>
      </c>
      <c r="F70" s="137">
        <v>116783442</v>
      </c>
      <c r="G70" s="187">
        <f>IF(ISBLANK(F70),"-",(F70/$D$50*$D$47*$B$68)*($B$57/$D$68))</f>
        <v>768.90229565511083</v>
      </c>
      <c r="H70" s="181">
        <f t="shared" si="0"/>
        <v>0.96112786956888852</v>
      </c>
    </row>
    <row r="71" spans="1:8" ht="27" customHeight="1" x14ac:dyDescent="0.4">
      <c r="A71" s="519"/>
      <c r="B71" s="520"/>
      <c r="C71" s="513"/>
      <c r="D71" s="516"/>
      <c r="E71" s="183">
        <v>4</v>
      </c>
      <c r="F71" s="184"/>
      <c r="G71" s="189" t="str">
        <f>IF(ISBLANK(F71),"-",(F71/$D$50*$D$47*$B$68)*($B$57/$D$68))</f>
        <v>-</v>
      </c>
      <c r="H71" s="193" t="str">
        <f t="shared" si="0"/>
        <v>-</v>
      </c>
    </row>
    <row r="72" spans="1:8" ht="26.25" customHeight="1" x14ac:dyDescent="0.4">
      <c r="A72" s="194"/>
      <c r="B72" s="194"/>
      <c r="C72" s="194"/>
      <c r="D72" s="194"/>
      <c r="E72" s="194"/>
      <c r="F72" s="195"/>
      <c r="G72" s="196" t="s">
        <v>68</v>
      </c>
      <c r="H72" s="197">
        <f>AVERAGE(H60:H71)</f>
        <v>0.95396040543731841</v>
      </c>
    </row>
    <row r="73" spans="1:8" ht="26.25" customHeight="1" x14ac:dyDescent="0.4">
      <c r="C73" s="194"/>
      <c r="D73" s="194"/>
      <c r="E73" s="194"/>
      <c r="F73" s="195"/>
      <c r="G73" s="198" t="s">
        <v>81</v>
      </c>
      <c r="H73" s="199">
        <f>STDEV(H60:H71)/H72</f>
        <v>1.9120376497666541E-2</v>
      </c>
    </row>
    <row r="74" spans="1:8" ht="27" customHeight="1" x14ac:dyDescent="0.4">
      <c r="A74" s="194"/>
      <c r="B74" s="194"/>
      <c r="C74" s="195"/>
      <c r="D74" s="195"/>
      <c r="E74" s="200"/>
      <c r="F74" s="195"/>
      <c r="G74" s="201" t="s">
        <v>19</v>
      </c>
      <c r="H74" s="202">
        <f>COUNT(H60:H71)</f>
        <v>9</v>
      </c>
    </row>
    <row r="76" spans="1:8" ht="26.25" customHeight="1" x14ac:dyDescent="0.4">
      <c r="A76" s="108" t="s">
        <v>103</v>
      </c>
      <c r="B76" s="203" t="s">
        <v>104</v>
      </c>
      <c r="C76" s="498" t="str">
        <f>B20</f>
        <v>Sulphamethoxazole 800 mg, Trimethoprim 160 mg</v>
      </c>
      <c r="D76" s="498"/>
      <c r="E76" s="204" t="s">
        <v>105</v>
      </c>
      <c r="F76" s="204"/>
      <c r="G76" s="205">
        <f>H72</f>
        <v>0.95396040543731841</v>
      </c>
      <c r="H76" s="206"/>
    </row>
    <row r="77" spans="1:8" ht="18.75" x14ac:dyDescent="0.3">
      <c r="A77" s="107" t="s">
        <v>106</v>
      </c>
      <c r="B77" s="107" t="s">
        <v>107</v>
      </c>
    </row>
    <row r="78" spans="1:8" ht="18.75" x14ac:dyDescent="0.3">
      <c r="A78" s="107"/>
      <c r="B78" s="107"/>
    </row>
    <row r="79" spans="1:8" ht="26.25" customHeight="1" x14ac:dyDescent="0.4">
      <c r="A79" s="108" t="s">
        <v>4</v>
      </c>
      <c r="B79" s="521" t="str">
        <f>B26</f>
        <v>Sulphamethoxazole</v>
      </c>
      <c r="C79" s="521"/>
    </row>
    <row r="80" spans="1:8" ht="26.25" customHeight="1" x14ac:dyDescent="0.4">
      <c r="A80" s="109" t="s">
        <v>45</v>
      </c>
      <c r="B80" s="521" t="str">
        <f>B27</f>
        <v>S12-2</v>
      </c>
      <c r="C80" s="521"/>
    </row>
    <row r="81" spans="1:12" ht="27" customHeight="1" x14ac:dyDescent="0.4">
      <c r="A81" s="109" t="s">
        <v>6</v>
      </c>
      <c r="B81" s="207">
        <f>B28</f>
        <v>99.58</v>
      </c>
    </row>
    <row r="82" spans="1:12" s="14" customFormat="1" ht="27" customHeight="1" x14ac:dyDescent="0.4">
      <c r="A82" s="109" t="s">
        <v>46</v>
      </c>
      <c r="B82" s="111">
        <v>0</v>
      </c>
      <c r="C82" s="500" t="s">
        <v>47</v>
      </c>
      <c r="D82" s="501"/>
      <c r="E82" s="501"/>
      <c r="F82" s="501"/>
      <c r="G82" s="502"/>
      <c r="I82" s="112"/>
      <c r="J82" s="112"/>
      <c r="K82" s="112"/>
      <c r="L82" s="112"/>
    </row>
    <row r="83" spans="1:12" s="14" customFormat="1" ht="19.5" customHeight="1" x14ac:dyDescent="0.3">
      <c r="A83" s="109" t="s">
        <v>48</v>
      </c>
      <c r="B83" s="113">
        <f>B81-B82</f>
        <v>99.58</v>
      </c>
      <c r="C83" s="114"/>
      <c r="D83" s="114"/>
      <c r="E83" s="114"/>
      <c r="F83" s="114"/>
      <c r="G83" s="115"/>
      <c r="I83" s="112"/>
      <c r="J83" s="112"/>
      <c r="K83" s="112"/>
      <c r="L83" s="112"/>
    </row>
    <row r="84" spans="1:12" s="14" customFormat="1" ht="27" customHeight="1" x14ac:dyDescent="0.4">
      <c r="A84" s="109" t="s">
        <v>49</v>
      </c>
      <c r="B84" s="116">
        <v>1</v>
      </c>
      <c r="C84" s="503" t="s">
        <v>108</v>
      </c>
      <c r="D84" s="504"/>
      <c r="E84" s="504"/>
      <c r="F84" s="504"/>
      <c r="G84" s="504"/>
      <c r="H84" s="505"/>
      <c r="I84" s="112"/>
      <c r="J84" s="112"/>
      <c r="K84" s="112"/>
      <c r="L84" s="112"/>
    </row>
    <row r="85" spans="1:12" s="14" customFormat="1" ht="27" customHeight="1" x14ac:dyDescent="0.4">
      <c r="A85" s="109" t="s">
        <v>51</v>
      </c>
      <c r="B85" s="116">
        <v>1</v>
      </c>
      <c r="C85" s="503" t="s">
        <v>109</v>
      </c>
      <c r="D85" s="504"/>
      <c r="E85" s="504"/>
      <c r="F85" s="504"/>
      <c r="G85" s="504"/>
      <c r="H85" s="505"/>
      <c r="I85" s="112"/>
      <c r="J85" s="112"/>
      <c r="K85" s="112"/>
      <c r="L85" s="112"/>
    </row>
    <row r="86" spans="1:12" s="14" customFormat="1" ht="18.75" x14ac:dyDescent="0.3">
      <c r="A86" s="109"/>
      <c r="B86" s="119"/>
      <c r="C86" s="120"/>
      <c r="D86" s="120"/>
      <c r="E86" s="120"/>
      <c r="F86" s="120"/>
      <c r="G86" s="120"/>
      <c r="H86" s="120"/>
      <c r="I86" s="112"/>
      <c r="J86" s="112"/>
      <c r="K86" s="112"/>
      <c r="L86" s="112"/>
    </row>
    <row r="87" spans="1:12" s="14" customFormat="1" ht="18.75" x14ac:dyDescent="0.3">
      <c r="A87" s="109" t="s">
        <v>53</v>
      </c>
      <c r="B87" s="121">
        <f>B84/B85</f>
        <v>1</v>
      </c>
      <c r="C87" s="99" t="s">
        <v>54</v>
      </c>
      <c r="D87" s="99"/>
      <c r="E87" s="99"/>
      <c r="F87" s="99"/>
      <c r="G87" s="99"/>
      <c r="I87" s="112"/>
      <c r="J87" s="112"/>
      <c r="K87" s="112"/>
      <c r="L87" s="112"/>
    </row>
    <row r="88" spans="1:12" ht="19.5" customHeight="1" x14ac:dyDescent="0.3">
      <c r="A88" s="107"/>
      <c r="B88" s="107"/>
    </row>
    <row r="89" spans="1:12" ht="27" customHeight="1" x14ac:dyDescent="0.4">
      <c r="A89" s="122" t="s">
        <v>55</v>
      </c>
      <c r="B89" s="123">
        <v>25</v>
      </c>
      <c r="D89" s="208" t="s">
        <v>56</v>
      </c>
      <c r="E89" s="209"/>
      <c r="F89" s="506" t="s">
        <v>57</v>
      </c>
      <c r="G89" s="507"/>
    </row>
    <row r="90" spans="1:12" ht="27" customHeight="1" x14ac:dyDescent="0.4">
      <c r="A90" s="124" t="s">
        <v>58</v>
      </c>
      <c r="B90" s="125">
        <v>15</v>
      </c>
      <c r="C90" s="210" t="s">
        <v>59</v>
      </c>
      <c r="D90" s="127" t="s">
        <v>60</v>
      </c>
      <c r="E90" s="128" t="s">
        <v>61</v>
      </c>
      <c r="F90" s="127" t="s">
        <v>60</v>
      </c>
      <c r="G90" s="211" t="s">
        <v>61</v>
      </c>
      <c r="I90" s="130" t="s">
        <v>62</v>
      </c>
    </row>
    <row r="91" spans="1:12" ht="26.25" customHeight="1" x14ac:dyDescent="0.4">
      <c r="A91" s="124" t="s">
        <v>63</v>
      </c>
      <c r="B91" s="125">
        <v>50</v>
      </c>
      <c r="C91" s="212">
        <v>1</v>
      </c>
      <c r="D91" s="132">
        <v>167705540</v>
      </c>
      <c r="E91" s="133">
        <f>IF(ISBLANK(D91),"-",$D$101/$D$98*D91)</f>
        <v>164465697.33505726</v>
      </c>
      <c r="F91" s="132">
        <v>187178916</v>
      </c>
      <c r="G91" s="134">
        <f>IF(ISBLANK(F91),"-",$D$101/$F$98*F91)</f>
        <v>164021276.79710281</v>
      </c>
      <c r="I91" s="135"/>
    </row>
    <row r="92" spans="1:12" ht="26.25" customHeight="1" x14ac:dyDescent="0.4">
      <c r="A92" s="124" t="s">
        <v>64</v>
      </c>
      <c r="B92" s="125">
        <v>1</v>
      </c>
      <c r="C92" s="195">
        <v>2</v>
      </c>
      <c r="D92" s="137">
        <v>168044501</v>
      </c>
      <c r="E92" s="138">
        <f>IF(ISBLANK(D92),"-",$D$101/$D$98*D92)</f>
        <v>164798110.07010695</v>
      </c>
      <c r="F92" s="137">
        <v>187941669</v>
      </c>
      <c r="G92" s="139">
        <f>IF(ISBLANK(F92),"-",$D$101/$F$98*F92)</f>
        <v>164689662.55130187</v>
      </c>
      <c r="I92" s="508">
        <f>ABS((F96/D96*D95)-F95)/D95</f>
        <v>4.5012059233545025E-4</v>
      </c>
    </row>
    <row r="93" spans="1:12" ht="26.25" customHeight="1" x14ac:dyDescent="0.4">
      <c r="A93" s="124" t="s">
        <v>65</v>
      </c>
      <c r="B93" s="125">
        <v>1</v>
      </c>
      <c r="C93" s="195">
        <v>3</v>
      </c>
      <c r="D93" s="137">
        <v>167911219</v>
      </c>
      <c r="E93" s="138">
        <f>IF(ISBLANK(D93),"-",$D$101/$D$98*D93)</f>
        <v>164667402.89685431</v>
      </c>
      <c r="F93" s="137">
        <v>188320484</v>
      </c>
      <c r="G93" s="139">
        <f>IF(ISBLANK(F93),"-",$D$101/$F$98*F93)</f>
        <v>165021610.83531636</v>
      </c>
      <c r="I93" s="508"/>
    </row>
    <row r="94" spans="1:12" ht="27" customHeight="1" x14ac:dyDescent="0.4">
      <c r="A94" s="124" t="s">
        <v>66</v>
      </c>
      <c r="B94" s="125">
        <v>1</v>
      </c>
      <c r="C94" s="213">
        <v>4</v>
      </c>
      <c r="D94" s="142"/>
      <c r="E94" s="143" t="str">
        <f>IF(ISBLANK(D94),"-",$D$101/$D$98*D94)</f>
        <v>-</v>
      </c>
      <c r="F94" s="214"/>
      <c r="G94" s="144" t="str">
        <f>IF(ISBLANK(F94),"-",$D$101/$F$98*F94)</f>
        <v>-</v>
      </c>
      <c r="I94" s="145"/>
    </row>
    <row r="95" spans="1:12" ht="27" customHeight="1" x14ac:dyDescent="0.4">
      <c r="A95" s="124" t="s">
        <v>67</v>
      </c>
      <c r="B95" s="125">
        <v>1</v>
      </c>
      <c r="C95" s="215" t="s">
        <v>68</v>
      </c>
      <c r="D95" s="216">
        <f>AVERAGE(D91:D94)</f>
        <v>167887086.66666666</v>
      </c>
      <c r="E95" s="147">
        <f>AVERAGE(E91:E94)</f>
        <v>164643736.7673395</v>
      </c>
      <c r="F95" s="217">
        <f>AVERAGE(F91:F94)</f>
        <v>187813689.66666666</v>
      </c>
      <c r="G95" s="218">
        <f>AVERAGE(G91:G94)</f>
        <v>164577516.727907</v>
      </c>
    </row>
    <row r="96" spans="1:12" ht="26.25" customHeight="1" x14ac:dyDescent="0.4">
      <c r="A96" s="124" t="s">
        <v>69</v>
      </c>
      <c r="B96" s="110">
        <v>1</v>
      </c>
      <c r="C96" s="219" t="s">
        <v>110</v>
      </c>
      <c r="D96" s="220">
        <v>15.36</v>
      </c>
      <c r="E96" s="140"/>
      <c r="F96" s="150">
        <v>17.190000000000001</v>
      </c>
    </row>
    <row r="97" spans="1:10" ht="26.25" customHeight="1" x14ac:dyDescent="0.4">
      <c r="A97" s="124" t="s">
        <v>71</v>
      </c>
      <c r="B97" s="110">
        <v>1</v>
      </c>
      <c r="C97" s="221" t="s">
        <v>111</v>
      </c>
      <c r="D97" s="222">
        <f>D96*$B$87</f>
        <v>15.36</v>
      </c>
      <c r="E97" s="153"/>
      <c r="F97" s="152">
        <f>F96*$B$87</f>
        <v>17.190000000000001</v>
      </c>
    </row>
    <row r="98" spans="1:10" ht="19.5" customHeight="1" x14ac:dyDescent="0.3">
      <c r="A98" s="124" t="s">
        <v>73</v>
      </c>
      <c r="B98" s="223">
        <f>(B97/B96)*(B95/B94)*(B93/B92)*(B91/B90)*B89</f>
        <v>83.333333333333343</v>
      </c>
      <c r="C98" s="221" t="s">
        <v>112</v>
      </c>
      <c r="D98" s="224">
        <f>D97*$B$83/100</f>
        <v>15.295488000000001</v>
      </c>
      <c r="E98" s="156"/>
      <c r="F98" s="155">
        <f>F97*$B$83/100</f>
        <v>17.117802000000001</v>
      </c>
    </row>
    <row r="99" spans="1:10" ht="19.5" customHeight="1" x14ac:dyDescent="0.3">
      <c r="A99" s="494" t="s">
        <v>75</v>
      </c>
      <c r="B99" s="509"/>
      <c r="C99" s="221" t="s">
        <v>113</v>
      </c>
      <c r="D99" s="225">
        <f>D98/$B$98</f>
        <v>0.18354585599999998</v>
      </c>
      <c r="E99" s="156"/>
      <c r="F99" s="158">
        <f>F98/$B$98</f>
        <v>0.20541362399999999</v>
      </c>
      <c r="G99" s="226"/>
      <c r="H99" s="148"/>
    </row>
    <row r="100" spans="1:10" ht="19.5" customHeight="1" x14ac:dyDescent="0.3">
      <c r="A100" s="496"/>
      <c r="B100" s="510"/>
      <c r="C100" s="221" t="s">
        <v>77</v>
      </c>
      <c r="D100" s="227">
        <v>0.18</v>
      </c>
      <c r="F100" s="162"/>
      <c r="G100" s="228"/>
      <c r="H100" s="148"/>
    </row>
    <row r="101" spans="1:10" ht="18.75" x14ac:dyDescent="0.3">
      <c r="C101" s="221" t="s">
        <v>78</v>
      </c>
      <c r="D101" s="222">
        <f>D100*$B$98</f>
        <v>15.000000000000002</v>
      </c>
      <c r="F101" s="162"/>
      <c r="G101" s="226"/>
      <c r="H101" s="148"/>
    </row>
    <row r="102" spans="1:10" ht="19.5" customHeight="1" x14ac:dyDescent="0.3">
      <c r="C102" s="229" t="s">
        <v>79</v>
      </c>
      <c r="D102" s="230">
        <f>D101/B34</f>
        <v>15.000000000000002</v>
      </c>
      <c r="F102" s="164"/>
      <c r="G102" s="226"/>
      <c r="H102" s="148"/>
      <c r="J102" s="231"/>
    </row>
    <row r="103" spans="1:10" ht="18.75" x14ac:dyDescent="0.3">
      <c r="C103" s="232" t="s">
        <v>114</v>
      </c>
      <c r="D103" s="233">
        <f>AVERAGE(E91:E94,G91:G94)</f>
        <v>164610626.74762323</v>
      </c>
      <c r="F103" s="164"/>
      <c r="G103" s="234"/>
      <c r="H103" s="148"/>
      <c r="J103" s="235"/>
    </row>
    <row r="104" spans="1:10" ht="18.75" x14ac:dyDescent="0.3">
      <c r="C104" s="198" t="s">
        <v>81</v>
      </c>
      <c r="D104" s="236">
        <f>STDEV(E91:E94,G91:G94)/D103</f>
        <v>2.0723763219701982E-3</v>
      </c>
      <c r="F104" s="164"/>
      <c r="G104" s="226"/>
      <c r="H104" s="148"/>
      <c r="J104" s="235"/>
    </row>
    <row r="105" spans="1:10" ht="19.5" customHeight="1" x14ac:dyDescent="0.3">
      <c r="C105" s="201" t="s">
        <v>19</v>
      </c>
      <c r="D105" s="237">
        <f>COUNT(E91:E94,G91:G94)</f>
        <v>6</v>
      </c>
      <c r="F105" s="164"/>
      <c r="G105" s="226"/>
      <c r="H105" s="148"/>
      <c r="J105" s="235"/>
    </row>
    <row r="106" spans="1:10" ht="19.5" customHeight="1" x14ac:dyDescent="0.3">
      <c r="A106" s="166"/>
      <c r="B106" s="166"/>
      <c r="C106" s="166"/>
      <c r="D106" s="166"/>
      <c r="E106" s="166"/>
    </row>
    <row r="107" spans="1:10" ht="26.25" customHeight="1" x14ac:dyDescent="0.4">
      <c r="A107" s="122" t="s">
        <v>115</v>
      </c>
      <c r="B107" s="123">
        <v>900</v>
      </c>
      <c r="C107" s="238" t="s">
        <v>116</v>
      </c>
      <c r="D107" s="239" t="s">
        <v>60</v>
      </c>
      <c r="E107" s="240" t="s">
        <v>117</v>
      </c>
      <c r="F107" s="241" t="s">
        <v>118</v>
      </c>
    </row>
    <row r="108" spans="1:10" ht="26.25" customHeight="1" x14ac:dyDescent="0.4">
      <c r="A108" s="124" t="s">
        <v>119</v>
      </c>
      <c r="B108" s="125">
        <v>5</v>
      </c>
      <c r="C108" s="242">
        <v>1</v>
      </c>
      <c r="D108" s="243">
        <v>170905423</v>
      </c>
      <c r="E108" s="244">
        <f>IF(ISBLANK(D108),"-",D108/$D$103*$D$100*$B$116)</f>
        <v>672.77985809381539</v>
      </c>
      <c r="F108" s="245">
        <f>IF(ISBLANK(D108), "-", E108/$B$56)</f>
        <v>0.84097482261726919</v>
      </c>
    </row>
    <row r="109" spans="1:10" ht="26.25" customHeight="1" x14ac:dyDescent="0.4">
      <c r="A109" s="124" t="s">
        <v>92</v>
      </c>
      <c r="B109" s="125">
        <v>20</v>
      </c>
      <c r="C109" s="242">
        <v>2</v>
      </c>
      <c r="D109" s="243">
        <v>168056854</v>
      </c>
      <c r="E109" s="246">
        <f>IF(ISBLANK(D109),"-",D109/$D$103*$D$100*$B$116)</f>
        <v>661.56628854201472</v>
      </c>
      <c r="F109" s="247">
        <f t="shared" ref="F108:F113" si="1">IF(ISBLANK(D109), "-", E109/$B$56)</f>
        <v>0.82695786067751842</v>
      </c>
    </row>
    <row r="110" spans="1:10" ht="26.25" customHeight="1" x14ac:dyDescent="0.4">
      <c r="A110" s="124" t="s">
        <v>93</v>
      </c>
      <c r="B110" s="125">
        <v>1</v>
      </c>
      <c r="C110" s="242">
        <v>3</v>
      </c>
      <c r="D110" s="243">
        <v>161597566</v>
      </c>
      <c r="E110" s="246">
        <f t="shared" ref="E108:E113" si="2">IF(ISBLANK(D110),"-",D110/$D$103*$D$100*$B$116)</f>
        <v>636.13889842328751</v>
      </c>
      <c r="F110" s="247">
        <f>IF(ISBLANK(D110), "-", E110/$B$56)</f>
        <v>0.79517362302910943</v>
      </c>
    </row>
    <row r="111" spans="1:10" ht="26.25" customHeight="1" x14ac:dyDescent="0.4">
      <c r="A111" s="124" t="s">
        <v>94</v>
      </c>
      <c r="B111" s="125">
        <v>1</v>
      </c>
      <c r="C111" s="242">
        <v>4</v>
      </c>
      <c r="D111" s="243">
        <v>167820384</v>
      </c>
      <c r="E111" s="246">
        <f t="shared" si="2"/>
        <v>660.63540963688229</v>
      </c>
      <c r="F111" s="247">
        <f>IF(ISBLANK(D111), "-", E111/$B$56)</f>
        <v>0.82579426204610284</v>
      </c>
    </row>
    <row r="112" spans="1:10" ht="26.25" customHeight="1" x14ac:dyDescent="0.4">
      <c r="A112" s="124" t="s">
        <v>95</v>
      </c>
      <c r="B112" s="125">
        <v>1</v>
      </c>
      <c r="C112" s="242">
        <v>5</v>
      </c>
      <c r="D112" s="243">
        <v>162286982</v>
      </c>
      <c r="E112" s="246">
        <f t="shared" si="2"/>
        <v>638.85282751053251</v>
      </c>
      <c r="F112" s="247">
        <f>IF(ISBLANK(D112), "-", E112/$B$56)</f>
        <v>0.79856603438816565</v>
      </c>
    </row>
    <row r="113" spans="1:10" ht="26.25" customHeight="1" x14ac:dyDescent="0.4">
      <c r="A113" s="124" t="s">
        <v>97</v>
      </c>
      <c r="B113" s="125">
        <v>1</v>
      </c>
      <c r="C113" s="248">
        <v>6</v>
      </c>
      <c r="D113" s="249">
        <v>170521296</v>
      </c>
      <c r="E113" s="250">
        <f t="shared" si="2"/>
        <v>671.26771819788019</v>
      </c>
      <c r="F113" s="251">
        <f>IF(ISBLANK(D113), "-", E113/$B$56)</f>
        <v>0.83908464774735025</v>
      </c>
    </row>
    <row r="114" spans="1:10" ht="26.25" customHeight="1" x14ac:dyDescent="0.4">
      <c r="A114" s="124" t="s">
        <v>98</v>
      </c>
      <c r="B114" s="125">
        <v>1</v>
      </c>
      <c r="C114" s="242"/>
      <c r="D114" s="195"/>
      <c r="E114" s="98"/>
      <c r="F114" s="252"/>
    </row>
    <row r="115" spans="1:10" ht="26.25" customHeight="1" x14ac:dyDescent="0.4">
      <c r="A115" s="124" t="s">
        <v>99</v>
      </c>
      <c r="B115" s="125">
        <v>1</v>
      </c>
      <c r="C115" s="242"/>
      <c r="D115" s="253"/>
      <c r="E115" s="254" t="s">
        <v>68</v>
      </c>
      <c r="F115" s="255">
        <f>AVERAGE(F108:F113)</f>
        <v>0.82109187508425263</v>
      </c>
    </row>
    <row r="116" spans="1:10" ht="27" customHeight="1" x14ac:dyDescent="0.4">
      <c r="A116" s="124" t="s">
        <v>100</v>
      </c>
      <c r="B116" s="154">
        <f>(B115/B114)*(B113/B112)*(B111/B110)*(B109/B108)*B107</f>
        <v>3600</v>
      </c>
      <c r="C116" s="256"/>
      <c r="D116" s="257"/>
      <c r="E116" s="215" t="s">
        <v>81</v>
      </c>
      <c r="F116" s="258">
        <f>STDEV(F108:F113)/F115</f>
        <v>2.4080765969379438E-2</v>
      </c>
      <c r="I116" s="98"/>
    </row>
    <row r="117" spans="1:10" ht="27" customHeight="1" x14ac:dyDescent="0.4">
      <c r="A117" s="494" t="s">
        <v>75</v>
      </c>
      <c r="B117" s="495"/>
      <c r="C117" s="259"/>
      <c r="D117" s="260"/>
      <c r="E117" s="261" t="s">
        <v>19</v>
      </c>
      <c r="F117" s="262">
        <f>COUNT(F108:F113)</f>
        <v>6</v>
      </c>
      <c r="I117" s="98"/>
      <c r="J117" s="235"/>
    </row>
    <row r="118" spans="1:10" ht="19.5" customHeight="1" x14ac:dyDescent="0.3">
      <c r="A118" s="496"/>
      <c r="B118" s="497"/>
      <c r="C118" s="98"/>
      <c r="D118" s="98"/>
      <c r="E118" s="98"/>
      <c r="F118" s="195"/>
      <c r="G118" s="98"/>
      <c r="H118" s="98"/>
      <c r="I118" s="98"/>
    </row>
    <row r="119" spans="1:10" ht="18.75" x14ac:dyDescent="0.3">
      <c r="A119" s="271"/>
      <c r="B119" s="120"/>
      <c r="C119" s="98"/>
      <c r="D119" s="98"/>
      <c r="E119" s="98"/>
      <c r="F119" s="195"/>
      <c r="G119" s="98"/>
      <c r="H119" s="98"/>
      <c r="I119" s="98"/>
    </row>
    <row r="120" spans="1:10" ht="26.25" customHeight="1" x14ac:dyDescent="0.4">
      <c r="A120" s="108" t="s">
        <v>103</v>
      </c>
      <c r="B120" s="203" t="s">
        <v>120</v>
      </c>
      <c r="C120" s="498" t="str">
        <f>B20</f>
        <v>Sulphamethoxazole 800 mg, Trimethoprim 160 mg</v>
      </c>
      <c r="D120" s="498"/>
      <c r="E120" s="204" t="s">
        <v>121</v>
      </c>
      <c r="F120" s="204"/>
      <c r="G120" s="205">
        <f>F115</f>
        <v>0.82109187508425263</v>
      </c>
      <c r="H120" s="98"/>
      <c r="I120" s="98"/>
    </row>
    <row r="121" spans="1:10" ht="19.5" customHeight="1" x14ac:dyDescent="0.3">
      <c r="A121" s="263"/>
      <c r="B121" s="263"/>
      <c r="C121" s="264"/>
      <c r="D121" s="264"/>
      <c r="E121" s="264"/>
      <c r="F121" s="264"/>
      <c r="G121" s="264"/>
      <c r="H121" s="264"/>
    </row>
    <row r="122" spans="1:10" ht="18.75" x14ac:dyDescent="0.3">
      <c r="B122" s="499" t="s">
        <v>25</v>
      </c>
      <c r="C122" s="499"/>
      <c r="E122" s="210" t="s">
        <v>26</v>
      </c>
      <c r="F122" s="265"/>
      <c r="G122" s="499" t="s">
        <v>27</v>
      </c>
      <c r="H122" s="499"/>
    </row>
    <row r="123" spans="1:10" ht="18.75" x14ac:dyDescent="0.3">
      <c r="A123" s="266" t="s">
        <v>28</v>
      </c>
      <c r="B123" s="267" t="s">
        <v>127</v>
      </c>
      <c r="C123" s="267"/>
      <c r="E123" s="267"/>
      <c r="F123" s="98"/>
      <c r="G123" s="268"/>
      <c r="H123" s="268"/>
    </row>
    <row r="124" spans="1:10" ht="18.75" x14ac:dyDescent="0.3">
      <c r="A124" s="266" t="s">
        <v>29</v>
      </c>
      <c r="B124" s="269"/>
      <c r="C124" s="269"/>
      <c r="E124" s="269"/>
      <c r="F124" s="98"/>
      <c r="G124" s="270"/>
      <c r="H124" s="270"/>
    </row>
    <row r="125" spans="1:10" ht="18.75" x14ac:dyDescent="0.3">
      <c r="A125" s="194"/>
      <c r="B125" s="194"/>
      <c r="C125" s="195"/>
      <c r="D125" s="195"/>
      <c r="E125" s="195"/>
      <c r="F125" s="200"/>
      <c r="G125" s="195"/>
      <c r="H125" s="195"/>
      <c r="I125" s="98"/>
    </row>
    <row r="126" spans="1:10" ht="18.75" x14ac:dyDescent="0.3">
      <c r="A126" s="194"/>
      <c r="B126" s="194"/>
      <c r="C126" s="195"/>
      <c r="D126" s="195"/>
      <c r="E126" s="195"/>
      <c r="F126" s="200"/>
      <c r="G126" s="195"/>
      <c r="H126" s="195"/>
      <c r="I126" s="98"/>
    </row>
    <row r="127" spans="1:10" ht="18.75" x14ac:dyDescent="0.3">
      <c r="A127" s="194"/>
      <c r="B127" s="194"/>
      <c r="C127" s="195"/>
      <c r="D127" s="195"/>
      <c r="E127" s="195"/>
      <c r="F127" s="200"/>
      <c r="G127" s="195"/>
      <c r="H127" s="195"/>
      <c r="I127" s="98"/>
    </row>
    <row r="128" spans="1:10" ht="18.75" x14ac:dyDescent="0.3">
      <c r="A128" s="194"/>
      <c r="B128" s="194"/>
      <c r="C128" s="195"/>
      <c r="D128" s="195"/>
      <c r="E128" s="195"/>
      <c r="F128" s="200"/>
      <c r="G128" s="195"/>
      <c r="H128" s="195"/>
      <c r="I128" s="98"/>
    </row>
    <row r="129" spans="1:9" ht="18.75" x14ac:dyDescent="0.3">
      <c r="A129" s="194"/>
      <c r="B129" s="194"/>
      <c r="C129" s="195"/>
      <c r="D129" s="195"/>
      <c r="E129" s="195"/>
      <c r="F129" s="200"/>
      <c r="G129" s="195"/>
      <c r="H129" s="195"/>
      <c r="I129" s="98"/>
    </row>
    <row r="130" spans="1:9" ht="18.75" x14ac:dyDescent="0.3">
      <c r="A130" s="194"/>
      <c r="B130" s="194"/>
      <c r="C130" s="195"/>
      <c r="D130" s="195"/>
      <c r="E130" s="195"/>
      <c r="F130" s="200"/>
      <c r="G130" s="195"/>
      <c r="H130" s="195"/>
      <c r="I130" s="98"/>
    </row>
    <row r="131" spans="1:9" ht="18.75" x14ac:dyDescent="0.3">
      <c r="A131" s="194"/>
      <c r="B131" s="194"/>
      <c r="C131" s="195"/>
      <c r="D131" s="195"/>
      <c r="E131" s="195"/>
      <c r="F131" s="200"/>
      <c r="G131" s="195"/>
      <c r="H131" s="195"/>
      <c r="I131" s="98"/>
    </row>
    <row r="132" spans="1:9" ht="18.75" x14ac:dyDescent="0.3">
      <c r="A132" s="194"/>
      <c r="B132" s="194"/>
      <c r="C132" s="195"/>
      <c r="D132" s="195"/>
      <c r="E132" s="195"/>
      <c r="F132" s="200"/>
      <c r="G132" s="195"/>
      <c r="H132" s="195"/>
      <c r="I132" s="98"/>
    </row>
    <row r="133" spans="1:9" ht="18.75" x14ac:dyDescent="0.3">
      <c r="A133" s="194"/>
      <c r="B133" s="194"/>
      <c r="C133" s="195"/>
      <c r="D133" s="195"/>
      <c r="E133" s="195"/>
      <c r="F133" s="200"/>
      <c r="G133" s="195"/>
      <c r="H133" s="195"/>
      <c r="I133" s="98"/>
    </row>
    <row r="250" spans="1:1" x14ac:dyDescent="0.25">
      <c r="A250" s="2">
        <v>5</v>
      </c>
    </row>
  </sheetData>
  <sheetProtection formatCells="0" formatColumns="0" formatRows="0" insertColumns="0" insertRows="0" insertHyperlinks="0" deleteColumns="0" deleteRows="0" sort="0" autoFilter="0" pivotTables="0"/>
  <mergeCells count="34"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I39:I40"/>
    <mergeCell ref="A46:B47"/>
    <mergeCell ref="C60:C63"/>
    <mergeCell ref="D60:D63"/>
    <mergeCell ref="C64:C67"/>
    <mergeCell ref="D64:D67"/>
    <mergeCell ref="I92:I93"/>
    <mergeCell ref="A99:B100"/>
    <mergeCell ref="C68:C71"/>
    <mergeCell ref="D68:D71"/>
    <mergeCell ref="A70:B71"/>
    <mergeCell ref="C76:D76"/>
    <mergeCell ref="B79:C79"/>
    <mergeCell ref="B80:C80"/>
    <mergeCell ref="A117:B118"/>
    <mergeCell ref="C120:D120"/>
    <mergeCell ref="B122:C122"/>
    <mergeCell ref="G122:H122"/>
    <mergeCell ref="C82:G82"/>
    <mergeCell ref="C84:H84"/>
    <mergeCell ref="C85:H85"/>
    <mergeCell ref="F89:G89"/>
  </mergeCells>
  <conditionalFormatting sqref="E51">
    <cfRule type="cellIs" dxfId="15" priority="1" operator="greaterThan">
      <formula>0.02</formula>
    </cfRule>
  </conditionalFormatting>
  <conditionalFormatting sqref="D51">
    <cfRule type="cellIs" dxfId="14" priority="2" operator="greaterThan">
      <formula>0.02</formula>
    </cfRule>
  </conditionalFormatting>
  <conditionalFormatting sqref="H73">
    <cfRule type="cellIs" dxfId="13" priority="3" operator="greaterThan">
      <formula>0.02</formula>
    </cfRule>
  </conditionalFormatting>
  <conditionalFormatting sqref="D104">
    <cfRule type="cellIs" dxfId="12" priority="4" operator="greaterThan">
      <formula>0.02</formula>
    </cfRule>
  </conditionalFormatting>
  <conditionalFormatting sqref="I39">
    <cfRule type="cellIs" dxfId="11" priority="5" operator="lessThanOrEqual">
      <formula>0.02</formula>
    </cfRule>
  </conditionalFormatting>
  <conditionalFormatting sqref="I39">
    <cfRule type="cellIs" dxfId="10" priority="6" operator="greaterThan">
      <formula>0.02</formula>
    </cfRule>
  </conditionalFormatting>
  <conditionalFormatting sqref="I92">
    <cfRule type="cellIs" dxfId="9" priority="7" operator="lessThanOrEqual">
      <formula>0.02</formula>
    </cfRule>
  </conditionalFormatting>
  <conditionalFormatting sqref="I92">
    <cfRule type="cellIs" dxfId="8" priority="8" operator="greaterThan">
      <formula>0.02</formula>
    </cfRule>
  </conditionalFormatting>
  <pageMargins left="0.7" right="0.7" top="0.75" bottom="0.75" header="0.3" footer="0.3"/>
  <pageSetup scale="24" orientation="portrait" r:id="rId1"/>
  <rowBreaks count="1" manualBreakCount="1">
    <brk id="126" max="9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5:N250"/>
  <sheetViews>
    <sheetView tabSelected="1" view="pageBreakPreview" topLeftCell="B1" zoomScale="60" zoomScaleNormal="55" workbookViewId="0">
      <selection activeCell="D91" sqref="D91:D93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5" spans="1:8" ht="19.5" customHeight="1" x14ac:dyDescent="0.3">
      <c r="A15" s="273"/>
    </row>
    <row r="16" spans="1:8" ht="19.5" customHeight="1" x14ac:dyDescent="0.3">
      <c r="A16" s="526" t="s">
        <v>30</v>
      </c>
      <c r="B16" s="527"/>
      <c r="C16" s="527"/>
      <c r="D16" s="527"/>
      <c r="E16" s="527"/>
      <c r="F16" s="527"/>
      <c r="G16" s="527"/>
      <c r="H16" s="528"/>
    </row>
    <row r="17" spans="1:14" ht="20.25" customHeight="1" x14ac:dyDescent="0.25">
      <c r="A17" s="529" t="s">
        <v>44</v>
      </c>
      <c r="B17" s="529"/>
      <c r="C17" s="529"/>
      <c r="D17" s="529"/>
      <c r="E17" s="529"/>
      <c r="F17" s="529"/>
      <c r="G17" s="529"/>
      <c r="H17" s="529"/>
    </row>
    <row r="18" spans="1:14" ht="26.25" customHeight="1" x14ac:dyDescent="0.4">
      <c r="A18" s="275" t="s">
        <v>32</v>
      </c>
      <c r="B18" s="525" t="s">
        <v>5</v>
      </c>
      <c r="C18" s="525"/>
      <c r="D18" s="455"/>
      <c r="E18" s="276"/>
      <c r="F18" s="277"/>
      <c r="G18" s="277"/>
      <c r="H18" s="277"/>
    </row>
    <row r="19" spans="1:14" ht="26.25" customHeight="1" x14ac:dyDescent="0.4">
      <c r="A19" s="275" t="s">
        <v>33</v>
      </c>
      <c r="B19" s="278" t="s">
        <v>7</v>
      </c>
      <c r="C19" s="277">
        <v>1</v>
      </c>
      <c r="D19" s="277"/>
      <c r="E19" s="277"/>
      <c r="F19" s="277"/>
      <c r="G19" s="277"/>
      <c r="H19" s="277"/>
    </row>
    <row r="20" spans="1:14" ht="26.25" customHeight="1" x14ac:dyDescent="0.4">
      <c r="A20" s="275" t="s">
        <v>34</v>
      </c>
      <c r="B20" s="530" t="s">
        <v>9</v>
      </c>
      <c r="C20" s="530"/>
      <c r="D20" s="277"/>
      <c r="E20" s="277"/>
      <c r="F20" s="277"/>
      <c r="G20" s="277"/>
      <c r="H20" s="277"/>
    </row>
    <row r="21" spans="1:14" ht="26.25" customHeight="1" x14ac:dyDescent="0.4">
      <c r="A21" s="275" t="s">
        <v>35</v>
      </c>
      <c r="B21" s="530" t="s">
        <v>9</v>
      </c>
      <c r="C21" s="530"/>
      <c r="D21" s="530"/>
      <c r="E21" s="530"/>
      <c r="F21" s="530"/>
      <c r="G21" s="530"/>
      <c r="H21" s="530"/>
      <c r="I21" s="279"/>
    </row>
    <row r="22" spans="1:14" ht="26.25" customHeight="1" x14ac:dyDescent="0.4">
      <c r="A22" s="275" t="s">
        <v>36</v>
      </c>
      <c r="B22" s="280" t="s">
        <v>124</v>
      </c>
      <c r="C22" s="277"/>
      <c r="D22" s="277"/>
      <c r="E22" s="277"/>
      <c r="F22" s="277"/>
      <c r="G22" s="277"/>
      <c r="H22" s="277"/>
    </row>
    <row r="23" spans="1:14" ht="26.25" customHeight="1" x14ac:dyDescent="0.4">
      <c r="A23" s="275" t="s">
        <v>37</v>
      </c>
      <c r="B23" s="280"/>
      <c r="C23" s="277"/>
      <c r="D23" s="277"/>
      <c r="E23" s="277"/>
      <c r="F23" s="277"/>
      <c r="G23" s="277"/>
      <c r="H23" s="277"/>
    </row>
    <row r="24" spans="1:14" ht="18.75" x14ac:dyDescent="0.3">
      <c r="A24" s="275"/>
      <c r="B24" s="281"/>
    </row>
    <row r="25" spans="1:14" ht="18.75" x14ac:dyDescent="0.3">
      <c r="A25" s="282" t="s">
        <v>1</v>
      </c>
      <c r="B25" s="281"/>
    </row>
    <row r="26" spans="1:14" ht="26.25" customHeight="1" x14ac:dyDescent="0.4">
      <c r="A26" s="283" t="s">
        <v>4</v>
      </c>
      <c r="B26" s="525" t="s">
        <v>125</v>
      </c>
      <c r="C26" s="525"/>
    </row>
    <row r="27" spans="1:14" ht="26.25" customHeight="1" x14ac:dyDescent="0.4">
      <c r="A27" s="284" t="s">
        <v>45</v>
      </c>
      <c r="B27" s="523" t="s">
        <v>126</v>
      </c>
      <c r="C27" s="523"/>
    </row>
    <row r="28" spans="1:14" ht="27" customHeight="1" x14ac:dyDescent="0.4">
      <c r="A28" s="284" t="s">
        <v>6</v>
      </c>
      <c r="B28" s="285">
        <v>99.66</v>
      </c>
    </row>
    <row r="29" spans="1:14" s="14" customFormat="1" ht="27" customHeight="1" x14ac:dyDescent="0.4">
      <c r="A29" s="284" t="s">
        <v>46</v>
      </c>
      <c r="B29" s="286"/>
      <c r="C29" s="500" t="s">
        <v>47</v>
      </c>
      <c r="D29" s="501"/>
      <c r="E29" s="501"/>
      <c r="F29" s="501"/>
      <c r="G29" s="502"/>
      <c r="I29" s="287"/>
      <c r="J29" s="287"/>
      <c r="K29" s="287"/>
      <c r="L29" s="287"/>
    </row>
    <row r="30" spans="1:14" s="14" customFormat="1" ht="19.5" customHeight="1" x14ac:dyDescent="0.3">
      <c r="A30" s="284" t="s">
        <v>48</v>
      </c>
      <c r="B30" s="288">
        <f>B28-B29</f>
        <v>99.66</v>
      </c>
      <c r="C30" s="289"/>
      <c r="D30" s="289"/>
      <c r="E30" s="289"/>
      <c r="F30" s="289"/>
      <c r="G30" s="290"/>
      <c r="I30" s="287"/>
      <c r="J30" s="287"/>
      <c r="K30" s="287"/>
      <c r="L30" s="287"/>
    </row>
    <row r="31" spans="1:14" s="14" customFormat="1" ht="27" customHeight="1" x14ac:dyDescent="0.4">
      <c r="A31" s="284" t="s">
        <v>49</v>
      </c>
      <c r="B31" s="291">
        <v>1</v>
      </c>
      <c r="C31" s="503" t="s">
        <v>50</v>
      </c>
      <c r="D31" s="504"/>
      <c r="E31" s="504"/>
      <c r="F31" s="504"/>
      <c r="G31" s="504"/>
      <c r="H31" s="505"/>
      <c r="I31" s="287"/>
      <c r="J31" s="287"/>
      <c r="K31" s="287"/>
      <c r="L31" s="287"/>
    </row>
    <row r="32" spans="1:14" s="14" customFormat="1" ht="27" customHeight="1" x14ac:dyDescent="0.4">
      <c r="A32" s="284" t="s">
        <v>51</v>
      </c>
      <c r="B32" s="291">
        <v>1</v>
      </c>
      <c r="C32" s="503" t="s">
        <v>52</v>
      </c>
      <c r="D32" s="504"/>
      <c r="E32" s="504"/>
      <c r="F32" s="504"/>
      <c r="G32" s="504"/>
      <c r="H32" s="505"/>
      <c r="I32" s="287"/>
      <c r="J32" s="287"/>
      <c r="K32" s="287"/>
      <c r="L32" s="292"/>
      <c r="M32" s="292"/>
      <c r="N32" s="293"/>
    </row>
    <row r="33" spans="1:14" s="14" customFormat="1" ht="17.25" customHeight="1" x14ac:dyDescent="0.3">
      <c r="A33" s="284"/>
      <c r="B33" s="294"/>
      <c r="C33" s="295"/>
      <c r="D33" s="295"/>
      <c r="E33" s="295"/>
      <c r="F33" s="295"/>
      <c r="G33" s="295"/>
      <c r="H33" s="295"/>
      <c r="I33" s="287"/>
      <c r="J33" s="287"/>
      <c r="K33" s="287"/>
      <c r="L33" s="292"/>
      <c r="M33" s="292"/>
      <c r="N33" s="293"/>
    </row>
    <row r="34" spans="1:14" s="14" customFormat="1" ht="18.75" x14ac:dyDescent="0.3">
      <c r="A34" s="284" t="s">
        <v>53</v>
      </c>
      <c r="B34" s="296">
        <f>B31/B32</f>
        <v>1</v>
      </c>
      <c r="C34" s="274" t="s">
        <v>54</v>
      </c>
      <c r="D34" s="274"/>
      <c r="E34" s="274"/>
      <c r="F34" s="274"/>
      <c r="G34" s="274"/>
      <c r="I34" s="287"/>
      <c r="J34" s="287"/>
      <c r="K34" s="287"/>
      <c r="L34" s="292"/>
      <c r="M34" s="292"/>
      <c r="N34" s="293"/>
    </row>
    <row r="35" spans="1:14" s="14" customFormat="1" ht="19.5" customHeight="1" x14ac:dyDescent="0.3">
      <c r="A35" s="284"/>
      <c r="B35" s="288"/>
      <c r="G35" s="274"/>
      <c r="I35" s="287"/>
      <c r="J35" s="287"/>
      <c r="K35" s="287"/>
      <c r="L35" s="292"/>
      <c r="M35" s="292"/>
      <c r="N35" s="293"/>
    </row>
    <row r="36" spans="1:14" s="14" customFormat="1" ht="27" customHeight="1" x14ac:dyDescent="0.4">
      <c r="A36" s="297" t="s">
        <v>55</v>
      </c>
      <c r="B36" s="298">
        <v>50</v>
      </c>
      <c r="C36" s="274"/>
      <c r="D36" s="506" t="s">
        <v>56</v>
      </c>
      <c r="E36" s="524"/>
      <c r="F36" s="506" t="s">
        <v>57</v>
      </c>
      <c r="G36" s="507"/>
      <c r="J36" s="287"/>
      <c r="K36" s="287"/>
      <c r="L36" s="292"/>
      <c r="M36" s="292"/>
      <c r="N36" s="293"/>
    </row>
    <row r="37" spans="1:14" s="14" customFormat="1" ht="27" customHeight="1" x14ac:dyDescent="0.4">
      <c r="A37" s="299" t="s">
        <v>58</v>
      </c>
      <c r="B37" s="300">
        <v>2</v>
      </c>
      <c r="C37" s="301" t="s">
        <v>59</v>
      </c>
      <c r="D37" s="302" t="s">
        <v>60</v>
      </c>
      <c r="E37" s="303" t="s">
        <v>61</v>
      </c>
      <c r="F37" s="302" t="s">
        <v>60</v>
      </c>
      <c r="G37" s="304" t="s">
        <v>61</v>
      </c>
      <c r="I37" s="305" t="s">
        <v>62</v>
      </c>
      <c r="J37" s="287"/>
      <c r="K37" s="287"/>
      <c r="L37" s="292"/>
      <c r="M37" s="292"/>
      <c r="N37" s="293"/>
    </row>
    <row r="38" spans="1:14" s="14" customFormat="1" ht="26.25" customHeight="1" x14ac:dyDescent="0.4">
      <c r="A38" s="299" t="s">
        <v>63</v>
      </c>
      <c r="B38" s="300">
        <v>20</v>
      </c>
      <c r="C38" s="306">
        <v>1</v>
      </c>
      <c r="D38" s="307">
        <v>10164667</v>
      </c>
      <c r="E38" s="308">
        <f>IF(ISBLANK(D38),"-",$D$48/$D$45*D38)</f>
        <v>9999357.6198289879</v>
      </c>
      <c r="F38" s="307">
        <v>9493275</v>
      </c>
      <c r="G38" s="309">
        <f>IF(ISBLANK(F38),"-",$D$48/$F$45*F38)</f>
        <v>9922564.8454746157</v>
      </c>
      <c r="I38" s="310"/>
      <c r="J38" s="287"/>
      <c r="K38" s="287"/>
      <c r="L38" s="292"/>
      <c r="M38" s="292"/>
      <c r="N38" s="293"/>
    </row>
    <row r="39" spans="1:14" s="14" customFormat="1" ht="26.25" customHeight="1" x14ac:dyDescent="0.4">
      <c r="A39" s="299" t="s">
        <v>64</v>
      </c>
      <c r="B39" s="300">
        <v>1</v>
      </c>
      <c r="C39" s="311">
        <v>2</v>
      </c>
      <c r="D39" s="312">
        <v>10178037</v>
      </c>
      <c r="E39" s="313">
        <f>IF(ISBLANK(D39),"-",$D$48/$D$45*D39)</f>
        <v>10012510.181676524</v>
      </c>
      <c r="F39" s="312">
        <v>9512842</v>
      </c>
      <c r="G39" s="314">
        <f>IF(ISBLANK(F39),"-",$D$48/$F$45*F39)</f>
        <v>9943016.6733560786</v>
      </c>
      <c r="I39" s="508">
        <f>ABS((F43/D43*D42)-F42)/D42</f>
        <v>6.6695056026253169E-3</v>
      </c>
      <c r="J39" s="287"/>
      <c r="K39" s="287"/>
      <c r="L39" s="292"/>
      <c r="M39" s="292"/>
      <c r="N39" s="293"/>
    </row>
    <row r="40" spans="1:14" ht="26.25" customHeight="1" x14ac:dyDescent="0.4">
      <c r="A40" s="299" t="s">
        <v>65</v>
      </c>
      <c r="B40" s="300">
        <v>1</v>
      </c>
      <c r="C40" s="311">
        <v>3</v>
      </c>
      <c r="D40" s="312">
        <v>10162097</v>
      </c>
      <c r="E40" s="313">
        <f>IF(ISBLANK(D40),"-",$D$48/$D$45*D40)</f>
        <v>9996829.4160931483</v>
      </c>
      <c r="F40" s="312">
        <v>9500832</v>
      </c>
      <c r="G40" s="314">
        <f>IF(ISBLANK(F40),"-",$D$48/$F$45*F40)</f>
        <v>9930463.5761589427</v>
      </c>
      <c r="I40" s="508"/>
      <c r="L40" s="292"/>
      <c r="M40" s="292"/>
      <c r="N40" s="315"/>
    </row>
    <row r="41" spans="1:14" ht="27" customHeight="1" x14ac:dyDescent="0.4">
      <c r="A41" s="299" t="s">
        <v>66</v>
      </c>
      <c r="B41" s="300">
        <v>1</v>
      </c>
      <c r="C41" s="316">
        <v>4</v>
      </c>
      <c r="D41" s="317"/>
      <c r="E41" s="318" t="str">
        <f>IF(ISBLANK(D41),"-",$D$48/$D$45*D41)</f>
        <v>-</v>
      </c>
      <c r="F41" s="317"/>
      <c r="G41" s="319" t="str">
        <f>IF(ISBLANK(F41),"-",$D$48/$F$45*F41)</f>
        <v>-</v>
      </c>
      <c r="I41" s="320"/>
      <c r="L41" s="292"/>
      <c r="M41" s="292"/>
      <c r="N41" s="315"/>
    </row>
    <row r="42" spans="1:14" ht="27" customHeight="1" x14ac:dyDescent="0.4">
      <c r="A42" s="299" t="s">
        <v>67</v>
      </c>
      <c r="B42" s="300">
        <v>1</v>
      </c>
      <c r="C42" s="321" t="s">
        <v>68</v>
      </c>
      <c r="D42" s="322">
        <f>AVERAGE(D38:D41)</f>
        <v>10168267</v>
      </c>
      <c r="E42" s="323">
        <f>AVERAGE(E38:E41)</f>
        <v>10002899.072532887</v>
      </c>
      <c r="F42" s="322">
        <f>AVERAGE(F38:F41)</f>
        <v>9502316.333333334</v>
      </c>
      <c r="G42" s="324">
        <f>AVERAGE(G38:G41)</f>
        <v>9932015.0316632111</v>
      </c>
      <c r="H42" s="325"/>
    </row>
    <row r="43" spans="1:14" ht="26.25" customHeight="1" x14ac:dyDescent="0.4">
      <c r="A43" s="299" t="s">
        <v>69</v>
      </c>
      <c r="B43" s="300">
        <v>1</v>
      </c>
      <c r="C43" s="326" t="s">
        <v>70</v>
      </c>
      <c r="D43" s="327">
        <v>16.32</v>
      </c>
      <c r="E43" s="315"/>
      <c r="F43" s="327">
        <v>15.36</v>
      </c>
      <c r="H43" s="325"/>
    </row>
    <row r="44" spans="1:14" ht="26.25" customHeight="1" x14ac:dyDescent="0.4">
      <c r="A44" s="299" t="s">
        <v>71</v>
      </c>
      <c r="B44" s="300">
        <v>1</v>
      </c>
      <c r="C44" s="328" t="s">
        <v>72</v>
      </c>
      <c r="D44" s="329">
        <f>D43*$B$34</f>
        <v>16.32</v>
      </c>
      <c r="E44" s="330"/>
      <c r="F44" s="329">
        <f>F43*$B$34</f>
        <v>15.36</v>
      </c>
      <c r="H44" s="325"/>
    </row>
    <row r="45" spans="1:14" ht="19.5" customHeight="1" x14ac:dyDescent="0.3">
      <c r="A45" s="299" t="s">
        <v>73</v>
      </c>
      <c r="B45" s="331">
        <f>(B44/B43)*(B42/B41)*(B40/B39)*(B38/B37)*B36</f>
        <v>500</v>
      </c>
      <c r="C45" s="328" t="s">
        <v>74</v>
      </c>
      <c r="D45" s="332">
        <f>D44*$B$30/100</f>
        <v>16.264512</v>
      </c>
      <c r="E45" s="333"/>
      <c r="F45" s="332">
        <f>F44*$B$30/100</f>
        <v>15.307775999999999</v>
      </c>
      <c r="H45" s="325"/>
    </row>
    <row r="46" spans="1:14" ht="19.5" customHeight="1" x14ac:dyDescent="0.3">
      <c r="A46" s="494" t="s">
        <v>75</v>
      </c>
      <c r="B46" s="495"/>
      <c r="C46" s="328" t="s">
        <v>76</v>
      </c>
      <c r="D46" s="334">
        <f>D45/$B$45</f>
        <v>3.2529023999999997E-2</v>
      </c>
      <c r="E46" s="335"/>
      <c r="F46" s="336">
        <f>F45/$B$45</f>
        <v>3.0615551999999997E-2</v>
      </c>
      <c r="H46" s="325"/>
    </row>
    <row r="47" spans="1:14" ht="27" customHeight="1" x14ac:dyDescent="0.4">
      <c r="A47" s="496"/>
      <c r="B47" s="497"/>
      <c r="C47" s="337" t="s">
        <v>77</v>
      </c>
      <c r="D47" s="338">
        <v>3.2000000000000001E-2</v>
      </c>
      <c r="E47" s="339"/>
      <c r="F47" s="335"/>
      <c r="H47" s="325"/>
    </row>
    <row r="48" spans="1:14" ht="18.75" x14ac:dyDescent="0.3">
      <c r="C48" s="340" t="s">
        <v>78</v>
      </c>
      <c r="D48" s="332">
        <f>D47*$B$45</f>
        <v>16</v>
      </c>
      <c r="F48" s="341"/>
      <c r="H48" s="325"/>
    </row>
    <row r="49" spans="1:12" ht="19.5" customHeight="1" x14ac:dyDescent="0.3">
      <c r="C49" s="342" t="s">
        <v>79</v>
      </c>
      <c r="D49" s="343">
        <f>D48/B34</f>
        <v>16</v>
      </c>
      <c r="F49" s="341"/>
      <c r="H49" s="325"/>
    </row>
    <row r="50" spans="1:12" ht="18.75" x14ac:dyDescent="0.3">
      <c r="C50" s="297" t="s">
        <v>80</v>
      </c>
      <c r="D50" s="344">
        <f>AVERAGE(E38:E41,G38:G41)</f>
        <v>9967457.0520980489</v>
      </c>
      <c r="F50" s="345"/>
      <c r="H50" s="325"/>
    </row>
    <row r="51" spans="1:12" ht="18.75" x14ac:dyDescent="0.3">
      <c r="C51" s="299" t="s">
        <v>81</v>
      </c>
      <c r="D51" s="346">
        <f>STDEV(E38:E41,G38:G41)/D50</f>
        <v>3.985709291027999E-3</v>
      </c>
      <c r="F51" s="345"/>
      <c r="H51" s="325"/>
    </row>
    <row r="52" spans="1:12" ht="19.5" customHeight="1" x14ac:dyDescent="0.3">
      <c r="C52" s="347" t="s">
        <v>19</v>
      </c>
      <c r="D52" s="348">
        <f>COUNT(E38:E41,G38:G41)</f>
        <v>6</v>
      </c>
      <c r="F52" s="345"/>
    </row>
    <row r="54" spans="1:12" ht="18.75" x14ac:dyDescent="0.3">
      <c r="A54" s="349" t="s">
        <v>1</v>
      </c>
      <c r="B54" s="350" t="s">
        <v>82</v>
      </c>
    </row>
    <row r="55" spans="1:12" ht="18.75" x14ac:dyDescent="0.3">
      <c r="A55" s="274" t="s">
        <v>83</v>
      </c>
      <c r="B55" s="351" t="str">
        <f>B21</f>
        <v>Sulphamethoxazole 800 mg, Trimethoprim 160 mg</v>
      </c>
    </row>
    <row r="56" spans="1:12" ht="26.25" customHeight="1" x14ac:dyDescent="0.4">
      <c r="A56" s="352" t="s">
        <v>84</v>
      </c>
      <c r="B56" s="353">
        <v>160</v>
      </c>
      <c r="C56" s="274" t="str">
        <f>B20</f>
        <v>Sulphamethoxazole 800 mg, Trimethoprim 160 mg</v>
      </c>
      <c r="H56" s="354"/>
    </row>
    <row r="57" spans="1:12" ht="18.75" x14ac:dyDescent="0.3">
      <c r="A57" s="351" t="s">
        <v>85</v>
      </c>
      <c r="B57" s="355">
        <f>Uniformity!C46</f>
        <v>1039.57</v>
      </c>
      <c r="H57" s="354"/>
    </row>
    <row r="58" spans="1:12" ht="19.5" customHeight="1" x14ac:dyDescent="0.3">
      <c r="H58" s="354"/>
    </row>
    <row r="59" spans="1:12" s="14" customFormat="1" ht="27" customHeight="1" x14ac:dyDescent="0.4">
      <c r="A59" s="297" t="s">
        <v>86</v>
      </c>
      <c r="B59" s="298">
        <v>100</v>
      </c>
      <c r="C59" s="274"/>
      <c r="D59" s="356" t="s">
        <v>87</v>
      </c>
      <c r="E59" s="357" t="s">
        <v>59</v>
      </c>
      <c r="F59" s="357" t="s">
        <v>60</v>
      </c>
      <c r="G59" s="357" t="s">
        <v>88</v>
      </c>
      <c r="H59" s="301" t="s">
        <v>89</v>
      </c>
      <c r="L59" s="287"/>
    </row>
    <row r="60" spans="1:12" s="14" customFormat="1" ht="26.25" customHeight="1" x14ac:dyDescent="0.4">
      <c r="A60" s="299" t="s">
        <v>90</v>
      </c>
      <c r="B60" s="300">
        <v>2</v>
      </c>
      <c r="C60" s="511" t="s">
        <v>91</v>
      </c>
      <c r="D60" s="514">
        <v>522.26</v>
      </c>
      <c r="E60" s="358">
        <v>1</v>
      </c>
      <c r="F60" s="359">
        <v>9882683</v>
      </c>
      <c r="G60" s="360">
        <f>IF(ISBLANK(F60),"-",(F60/$D$50*$D$47*$B$68)*($B$57/$D$60))</f>
        <v>157.88739257803266</v>
      </c>
      <c r="H60" s="361">
        <f t="shared" ref="H60:H71" si="0">IF(ISBLANK(F60),"-",G60/$B$56)</f>
        <v>0.98679620361270415</v>
      </c>
      <c r="L60" s="287"/>
    </row>
    <row r="61" spans="1:12" s="14" customFormat="1" ht="26.25" customHeight="1" x14ac:dyDescent="0.4">
      <c r="A61" s="299" t="s">
        <v>92</v>
      </c>
      <c r="B61" s="300">
        <v>50</v>
      </c>
      <c r="C61" s="512"/>
      <c r="D61" s="515"/>
      <c r="E61" s="362">
        <v>2</v>
      </c>
      <c r="F61" s="312">
        <v>9878595</v>
      </c>
      <c r="G61" s="363">
        <f>IF(ISBLANK(F61),"-",(F61/$D$50*$D$47*$B$68)*($B$57/$D$60))</f>
        <v>157.82208200793153</v>
      </c>
      <c r="H61" s="364">
        <f t="shared" si="0"/>
        <v>0.98638801254957209</v>
      </c>
      <c r="L61" s="287"/>
    </row>
    <row r="62" spans="1:12" s="14" customFormat="1" ht="26.25" customHeight="1" x14ac:dyDescent="0.4">
      <c r="A62" s="299" t="s">
        <v>93</v>
      </c>
      <c r="B62" s="300">
        <v>1</v>
      </c>
      <c r="C62" s="512"/>
      <c r="D62" s="515"/>
      <c r="E62" s="362">
        <v>3</v>
      </c>
      <c r="F62" s="365">
        <v>9866923</v>
      </c>
      <c r="G62" s="363">
        <f>IF(ISBLANK(F62),"-",(F62/$D$50*$D$47*$B$68)*($B$57/$D$60))</f>
        <v>157.63560818840591</v>
      </c>
      <c r="H62" s="364">
        <f t="shared" si="0"/>
        <v>0.98522255117753699</v>
      </c>
      <c r="L62" s="287"/>
    </row>
    <row r="63" spans="1:12" ht="27" customHeight="1" x14ac:dyDescent="0.4">
      <c r="A63" s="299" t="s">
        <v>94</v>
      </c>
      <c r="B63" s="300">
        <v>1</v>
      </c>
      <c r="C63" s="522"/>
      <c r="D63" s="516"/>
      <c r="E63" s="366">
        <v>4</v>
      </c>
      <c r="F63" s="367"/>
      <c r="G63" s="363" t="str">
        <f>IF(ISBLANK(F63),"-",(F63/$D$50*$D$47*$B$68)*($B$57/$D$60))</f>
        <v>-</v>
      </c>
      <c r="H63" s="364" t="str">
        <f t="shared" si="0"/>
        <v>-</v>
      </c>
    </row>
    <row r="64" spans="1:12" ht="26.25" customHeight="1" x14ac:dyDescent="0.4">
      <c r="A64" s="299" t="s">
        <v>95</v>
      </c>
      <c r="B64" s="300">
        <v>1</v>
      </c>
      <c r="C64" s="511" t="s">
        <v>96</v>
      </c>
      <c r="D64" s="514">
        <v>519.35</v>
      </c>
      <c r="E64" s="358">
        <v>1</v>
      </c>
      <c r="F64" s="359"/>
      <c r="G64" s="368" t="str">
        <f>IF(ISBLANK(F64),"-",(F64/$D$50*$D$47*$B$68)*($B$57/$D$64))</f>
        <v>-</v>
      </c>
      <c r="H64" s="369" t="str">
        <f t="shared" si="0"/>
        <v>-</v>
      </c>
    </row>
    <row r="65" spans="1:8" ht="26.25" customHeight="1" x14ac:dyDescent="0.4">
      <c r="A65" s="299" t="s">
        <v>97</v>
      </c>
      <c r="B65" s="300">
        <v>1</v>
      </c>
      <c r="C65" s="512"/>
      <c r="D65" s="515"/>
      <c r="E65" s="362">
        <v>2</v>
      </c>
      <c r="F65" s="312"/>
      <c r="G65" s="370" t="str">
        <f>IF(ISBLANK(F65),"-",(F65/$D$50*$D$47*$B$68)*($B$57/$D$64))</f>
        <v>-</v>
      </c>
      <c r="H65" s="371" t="str">
        <f t="shared" si="0"/>
        <v>-</v>
      </c>
    </row>
    <row r="66" spans="1:8" ht="26.25" customHeight="1" x14ac:dyDescent="0.4">
      <c r="A66" s="299" t="s">
        <v>98</v>
      </c>
      <c r="B66" s="300">
        <v>1</v>
      </c>
      <c r="C66" s="512"/>
      <c r="D66" s="515"/>
      <c r="E66" s="362">
        <v>3</v>
      </c>
      <c r="F66" s="312"/>
      <c r="G66" s="370" t="str">
        <f>IF(ISBLANK(F66),"-",(F66/$D$50*$D$47*$B$68)*($B$57/$D$64))</f>
        <v>-</v>
      </c>
      <c r="H66" s="371" t="str">
        <f t="shared" si="0"/>
        <v>-</v>
      </c>
    </row>
    <row r="67" spans="1:8" ht="27" customHeight="1" x14ac:dyDescent="0.4">
      <c r="A67" s="299" t="s">
        <v>99</v>
      </c>
      <c r="B67" s="300">
        <v>1</v>
      </c>
      <c r="C67" s="522"/>
      <c r="D67" s="516"/>
      <c r="E67" s="366">
        <v>4</v>
      </c>
      <c r="F67" s="367"/>
      <c r="G67" s="372" t="str">
        <f>IF(ISBLANK(F67),"-",(F67/$D$50*$D$47*$B$68)*($B$57/$D$64))</f>
        <v>-</v>
      </c>
      <c r="H67" s="373" t="str">
        <f t="shared" si="0"/>
        <v>-</v>
      </c>
    </row>
    <row r="68" spans="1:8" ht="26.25" customHeight="1" x14ac:dyDescent="0.4">
      <c r="A68" s="299" t="s">
        <v>100</v>
      </c>
      <c r="B68" s="374">
        <f>(B67/B66)*(B65/B64)*(B63/B62)*(B61/B60)*B59</f>
        <v>2500</v>
      </c>
      <c r="C68" s="511" t="s">
        <v>101</v>
      </c>
      <c r="D68" s="514">
        <v>519.08000000000004</v>
      </c>
      <c r="E68" s="358">
        <v>1</v>
      </c>
      <c r="F68" s="359">
        <v>9691334</v>
      </c>
      <c r="G68" s="368">
        <f>IF(ISBLANK(F68),"-",(F68/$D$50*$D$47*$B$68)*($B$57/$D$68))</f>
        <v>155.77889444368572</v>
      </c>
      <c r="H68" s="364">
        <f t="shared" si="0"/>
        <v>0.9736180902730357</v>
      </c>
    </row>
    <row r="69" spans="1:8" ht="27" customHeight="1" x14ac:dyDescent="0.4">
      <c r="A69" s="347" t="s">
        <v>102</v>
      </c>
      <c r="B69" s="375">
        <f>(D47*B68)/B56*B57</f>
        <v>519.78499999999997</v>
      </c>
      <c r="C69" s="512"/>
      <c r="D69" s="515"/>
      <c r="E69" s="362">
        <v>2</v>
      </c>
      <c r="F69" s="312">
        <v>9763089</v>
      </c>
      <c r="G69" s="370">
        <f>IF(ISBLANK(F69),"-",(F69/$D$50*$D$47*$B$68)*($B$57/$D$68))</f>
        <v>156.93228721405217</v>
      </c>
      <c r="H69" s="364">
        <f t="shared" si="0"/>
        <v>0.980826795087826</v>
      </c>
    </row>
    <row r="70" spans="1:8" ht="26.25" customHeight="1" x14ac:dyDescent="0.4">
      <c r="A70" s="517" t="s">
        <v>75</v>
      </c>
      <c r="B70" s="518"/>
      <c r="C70" s="512"/>
      <c r="D70" s="515"/>
      <c r="E70" s="362">
        <v>3</v>
      </c>
      <c r="F70" s="312">
        <v>9733827</v>
      </c>
      <c r="G70" s="370">
        <f>IF(ISBLANK(F70),"-",(F70/$D$50*$D$47*$B$68)*($B$57/$D$68))</f>
        <v>156.46192864327014</v>
      </c>
      <c r="H70" s="364">
        <f t="shared" si="0"/>
        <v>0.97788705402043841</v>
      </c>
    </row>
    <row r="71" spans="1:8" ht="27" customHeight="1" x14ac:dyDescent="0.4">
      <c r="A71" s="519"/>
      <c r="B71" s="520"/>
      <c r="C71" s="513"/>
      <c r="D71" s="516"/>
      <c r="E71" s="366">
        <v>4</v>
      </c>
      <c r="F71" s="367"/>
      <c r="G71" s="372" t="str">
        <f>IF(ISBLANK(F71),"-",(F71/$D$50*$D$47*$B$68)*($B$57/$D$68))</f>
        <v>-</v>
      </c>
      <c r="H71" s="376" t="str">
        <f t="shared" si="0"/>
        <v>-</v>
      </c>
    </row>
    <row r="72" spans="1:8" ht="26.25" customHeight="1" x14ac:dyDescent="0.4">
      <c r="A72" s="377"/>
      <c r="B72" s="377"/>
      <c r="C72" s="377"/>
      <c r="D72" s="377"/>
      <c r="E72" s="377"/>
      <c r="F72" s="378"/>
      <c r="G72" s="379" t="s">
        <v>68</v>
      </c>
      <c r="H72" s="380">
        <f>AVERAGE(H60:H71)</f>
        <v>0.98178978445351894</v>
      </c>
    </row>
    <row r="73" spans="1:8" ht="26.25" customHeight="1" x14ac:dyDescent="0.4">
      <c r="C73" s="377"/>
      <c r="D73" s="377"/>
      <c r="E73" s="377"/>
      <c r="F73" s="378"/>
      <c r="G73" s="381" t="s">
        <v>81</v>
      </c>
      <c r="H73" s="382">
        <f>STDEV(H60:H71)/H72</f>
        <v>5.4074646153844828E-3</v>
      </c>
    </row>
    <row r="74" spans="1:8" ht="27" customHeight="1" x14ac:dyDescent="0.4">
      <c r="A74" s="377"/>
      <c r="B74" s="377"/>
      <c r="C74" s="378"/>
      <c r="D74" s="378"/>
      <c r="E74" s="383"/>
      <c r="F74" s="378"/>
      <c r="G74" s="384" t="s">
        <v>19</v>
      </c>
      <c r="H74" s="385">
        <f>COUNT(H60:H71)</f>
        <v>6</v>
      </c>
    </row>
    <row r="76" spans="1:8" ht="26.25" customHeight="1" x14ac:dyDescent="0.4">
      <c r="A76" s="283" t="s">
        <v>103</v>
      </c>
      <c r="B76" s="386" t="s">
        <v>104</v>
      </c>
      <c r="C76" s="498" t="str">
        <f>B20</f>
        <v>Sulphamethoxazole 800 mg, Trimethoprim 160 mg</v>
      </c>
      <c r="D76" s="498"/>
      <c r="E76" s="387" t="s">
        <v>105</v>
      </c>
      <c r="F76" s="387"/>
      <c r="G76" s="388">
        <f>H72</f>
        <v>0.98178978445351894</v>
      </c>
      <c r="H76" s="389"/>
    </row>
    <row r="77" spans="1:8" ht="18.75" x14ac:dyDescent="0.3">
      <c r="A77" s="282" t="s">
        <v>106</v>
      </c>
      <c r="B77" s="282" t="s">
        <v>107</v>
      </c>
    </row>
    <row r="78" spans="1:8" ht="18.75" x14ac:dyDescent="0.3">
      <c r="A78" s="282"/>
      <c r="B78" s="282"/>
    </row>
    <row r="79" spans="1:8" ht="26.25" customHeight="1" x14ac:dyDescent="0.4">
      <c r="A79" s="283" t="s">
        <v>4</v>
      </c>
      <c r="B79" s="521" t="str">
        <f>B26</f>
        <v>Trimethoprim</v>
      </c>
      <c r="C79" s="521"/>
    </row>
    <row r="80" spans="1:8" ht="26.25" customHeight="1" x14ac:dyDescent="0.4">
      <c r="A80" s="284" t="s">
        <v>45</v>
      </c>
      <c r="B80" s="521" t="str">
        <f>B27</f>
        <v>T7-2</v>
      </c>
      <c r="C80" s="521"/>
    </row>
    <row r="81" spans="1:12" ht="27" customHeight="1" x14ac:dyDescent="0.4">
      <c r="A81" s="284" t="s">
        <v>6</v>
      </c>
      <c r="B81" s="390">
        <f>B28</f>
        <v>99.66</v>
      </c>
    </row>
    <row r="82" spans="1:12" s="14" customFormat="1" ht="27" customHeight="1" x14ac:dyDescent="0.4">
      <c r="A82" s="284" t="s">
        <v>46</v>
      </c>
      <c r="B82" s="286">
        <v>0</v>
      </c>
      <c r="C82" s="500" t="s">
        <v>47</v>
      </c>
      <c r="D82" s="501"/>
      <c r="E82" s="501"/>
      <c r="F82" s="501"/>
      <c r="G82" s="502"/>
      <c r="I82" s="287"/>
      <c r="J82" s="287"/>
      <c r="K82" s="287"/>
      <c r="L82" s="287"/>
    </row>
    <row r="83" spans="1:12" s="14" customFormat="1" ht="19.5" customHeight="1" x14ac:dyDescent="0.3">
      <c r="A83" s="284" t="s">
        <v>48</v>
      </c>
      <c r="B83" s="288">
        <f>B81-B82</f>
        <v>99.66</v>
      </c>
      <c r="C83" s="289"/>
      <c r="D83" s="289"/>
      <c r="E83" s="289"/>
      <c r="F83" s="289"/>
      <c r="G83" s="290"/>
      <c r="I83" s="287"/>
      <c r="J83" s="287"/>
      <c r="K83" s="287"/>
      <c r="L83" s="287"/>
    </row>
    <row r="84" spans="1:12" s="14" customFormat="1" ht="27" customHeight="1" x14ac:dyDescent="0.4">
      <c r="A84" s="284" t="s">
        <v>49</v>
      </c>
      <c r="B84" s="291">
        <v>1</v>
      </c>
      <c r="C84" s="503" t="s">
        <v>108</v>
      </c>
      <c r="D84" s="504"/>
      <c r="E84" s="504"/>
      <c r="F84" s="504"/>
      <c r="G84" s="504"/>
      <c r="H84" s="505"/>
      <c r="I84" s="287"/>
      <c r="J84" s="287"/>
      <c r="K84" s="287"/>
      <c r="L84" s="287"/>
    </row>
    <row r="85" spans="1:12" s="14" customFormat="1" ht="27" customHeight="1" x14ac:dyDescent="0.4">
      <c r="A85" s="284" t="s">
        <v>51</v>
      </c>
      <c r="B85" s="291">
        <v>1</v>
      </c>
      <c r="C85" s="503" t="s">
        <v>109</v>
      </c>
      <c r="D85" s="504"/>
      <c r="E85" s="504"/>
      <c r="F85" s="504"/>
      <c r="G85" s="504"/>
      <c r="H85" s="505"/>
      <c r="I85" s="287"/>
      <c r="J85" s="287"/>
      <c r="K85" s="287"/>
      <c r="L85" s="287"/>
    </row>
    <row r="86" spans="1:12" s="14" customFormat="1" ht="18.75" x14ac:dyDescent="0.3">
      <c r="A86" s="284"/>
      <c r="B86" s="294"/>
      <c r="C86" s="295"/>
      <c r="D86" s="295"/>
      <c r="E86" s="295"/>
      <c r="F86" s="295"/>
      <c r="G86" s="295"/>
      <c r="H86" s="295"/>
      <c r="I86" s="287"/>
      <c r="J86" s="287"/>
      <c r="K86" s="287"/>
      <c r="L86" s="287"/>
    </row>
    <row r="87" spans="1:12" s="14" customFormat="1" ht="18.75" x14ac:dyDescent="0.3">
      <c r="A87" s="284" t="s">
        <v>53</v>
      </c>
      <c r="B87" s="296">
        <f>B84/B85</f>
        <v>1</v>
      </c>
      <c r="C87" s="274" t="s">
        <v>54</v>
      </c>
      <c r="D87" s="274"/>
      <c r="E87" s="274"/>
      <c r="F87" s="274"/>
      <c r="G87" s="274"/>
      <c r="I87" s="287"/>
      <c r="J87" s="287"/>
      <c r="K87" s="287"/>
      <c r="L87" s="287"/>
    </row>
    <row r="88" spans="1:12" ht="19.5" customHeight="1" x14ac:dyDescent="0.3">
      <c r="A88" s="282"/>
      <c r="B88" s="282"/>
    </row>
    <row r="89" spans="1:12" ht="27" customHeight="1" x14ac:dyDescent="0.4">
      <c r="A89" s="297" t="s">
        <v>55</v>
      </c>
      <c r="B89" s="298">
        <v>50</v>
      </c>
      <c r="D89" s="391" t="s">
        <v>56</v>
      </c>
      <c r="E89" s="392"/>
      <c r="F89" s="506" t="s">
        <v>57</v>
      </c>
      <c r="G89" s="507"/>
    </row>
    <row r="90" spans="1:12" ht="27" customHeight="1" x14ac:dyDescent="0.4">
      <c r="A90" s="299" t="s">
        <v>58</v>
      </c>
      <c r="B90" s="300">
        <v>5</v>
      </c>
      <c r="C90" s="393" t="s">
        <v>59</v>
      </c>
      <c r="D90" s="302" t="s">
        <v>60</v>
      </c>
      <c r="E90" s="303" t="s">
        <v>61</v>
      </c>
      <c r="F90" s="302" t="s">
        <v>60</v>
      </c>
      <c r="G90" s="394" t="s">
        <v>61</v>
      </c>
      <c r="I90" s="305" t="s">
        <v>62</v>
      </c>
    </row>
    <row r="91" spans="1:12" ht="26.25" customHeight="1" x14ac:dyDescent="0.4">
      <c r="A91" s="299" t="s">
        <v>63</v>
      </c>
      <c r="B91" s="300">
        <v>50</v>
      </c>
      <c r="C91" s="395">
        <v>1</v>
      </c>
      <c r="D91" s="307">
        <v>11026309</v>
      </c>
      <c r="E91" s="308">
        <f>IF(ISBLANK(D91),"-",$D$101/$D$98*D91)</f>
        <v>10295216.826540262</v>
      </c>
      <c r="F91" s="307">
        <v>10719951</v>
      </c>
      <c r="G91" s="309">
        <f>IF(ISBLANK(F91),"-",$D$101/$F$98*F91)</f>
        <v>10179674.932625819</v>
      </c>
      <c r="I91" s="310"/>
    </row>
    <row r="92" spans="1:12" ht="26.25" customHeight="1" x14ac:dyDescent="0.4">
      <c r="A92" s="299" t="s">
        <v>64</v>
      </c>
      <c r="B92" s="300">
        <v>1</v>
      </c>
      <c r="C92" s="378">
        <v>2</v>
      </c>
      <c r="D92" s="312">
        <v>11039649</v>
      </c>
      <c r="E92" s="313">
        <f>IF(ISBLANK(D92),"-",$D$101/$D$98*D92)</f>
        <v>10307672.326605247</v>
      </c>
      <c r="F92" s="312">
        <v>10973851</v>
      </c>
      <c r="G92" s="314">
        <f>IF(ISBLANK(F92),"-",$D$101/$F$98*F92)</f>
        <v>10420778.596755784</v>
      </c>
      <c r="I92" s="508">
        <f>ABS((F96/D96*D95)-F95)/D95</f>
        <v>2.6254127127067119E-3</v>
      </c>
    </row>
    <row r="93" spans="1:12" ht="26.25" customHeight="1" x14ac:dyDescent="0.4">
      <c r="A93" s="299" t="s">
        <v>65</v>
      </c>
      <c r="B93" s="300">
        <v>1</v>
      </c>
      <c r="C93" s="378">
        <v>3</v>
      </c>
      <c r="D93" s="312">
        <v>10992743</v>
      </c>
      <c r="E93" s="313">
        <f>IF(ISBLANK(D93),"-",$D$101/$D$98*D93)</f>
        <v>10263876.398115877</v>
      </c>
      <c r="F93" s="312">
        <v>10897979</v>
      </c>
      <c r="G93" s="314">
        <f>IF(ISBLANK(F93),"-",$D$101/$F$98*F93)</f>
        <v>10348730.478579855</v>
      </c>
      <c r="I93" s="508"/>
    </row>
    <row r="94" spans="1:12" ht="27" customHeight="1" x14ac:dyDescent="0.4">
      <c r="A94" s="299" t="s">
        <v>66</v>
      </c>
      <c r="B94" s="300">
        <v>1</v>
      </c>
      <c r="C94" s="396">
        <v>4</v>
      </c>
      <c r="D94" s="317"/>
      <c r="E94" s="318" t="str">
        <f>IF(ISBLANK(D94),"-",$D$101/$D$98*D94)</f>
        <v>-</v>
      </c>
      <c r="F94" s="397"/>
      <c r="G94" s="319" t="str">
        <f>IF(ISBLANK(F94),"-",$D$101/$F$98*F94)</f>
        <v>-</v>
      </c>
      <c r="I94" s="320"/>
    </row>
    <row r="95" spans="1:12" ht="27" customHeight="1" x14ac:dyDescent="0.4">
      <c r="A95" s="299" t="s">
        <v>67</v>
      </c>
      <c r="B95" s="300">
        <v>1</v>
      </c>
      <c r="C95" s="398" t="s">
        <v>68</v>
      </c>
      <c r="D95" s="399">
        <f>AVERAGE(D91:D94)</f>
        <v>11019567</v>
      </c>
      <c r="E95" s="323">
        <f>AVERAGE(E91:E94)</f>
        <v>10288921.850420462</v>
      </c>
      <c r="F95" s="400">
        <f>AVERAGE(F91:F94)</f>
        <v>10863927</v>
      </c>
      <c r="G95" s="401">
        <f>AVERAGE(G91:G94)</f>
        <v>10316394.669320486</v>
      </c>
    </row>
    <row r="96" spans="1:12" ht="26.25" customHeight="1" x14ac:dyDescent="0.4">
      <c r="A96" s="299" t="s">
        <v>69</v>
      </c>
      <c r="B96" s="285">
        <v>1</v>
      </c>
      <c r="C96" s="402" t="s">
        <v>110</v>
      </c>
      <c r="D96" s="403">
        <v>16.12</v>
      </c>
      <c r="E96" s="315"/>
      <c r="F96" s="327">
        <v>15.85</v>
      </c>
    </row>
    <row r="97" spans="1:10" ht="26.25" customHeight="1" x14ac:dyDescent="0.4">
      <c r="A97" s="299" t="s">
        <v>71</v>
      </c>
      <c r="B97" s="285">
        <v>1</v>
      </c>
      <c r="C97" s="404" t="s">
        <v>111</v>
      </c>
      <c r="D97" s="405">
        <f>D96*$B$87</f>
        <v>16.12</v>
      </c>
      <c r="E97" s="330"/>
      <c r="F97" s="329">
        <f>F96*$B$87</f>
        <v>15.85</v>
      </c>
    </row>
    <row r="98" spans="1:10" ht="19.5" customHeight="1" x14ac:dyDescent="0.3">
      <c r="A98" s="299" t="s">
        <v>73</v>
      </c>
      <c r="B98" s="406">
        <f>(B97/B96)*(B95/B94)*(B93/B92)*(B91/B90)*B89</f>
        <v>500</v>
      </c>
      <c r="C98" s="404" t="s">
        <v>112</v>
      </c>
      <c r="D98" s="407">
        <f>D97*$B$83/100</f>
        <v>16.065192</v>
      </c>
      <c r="E98" s="333"/>
      <c r="F98" s="332">
        <f>F97*$B$83/100</f>
        <v>15.796109999999999</v>
      </c>
    </row>
    <row r="99" spans="1:10" ht="19.5" customHeight="1" x14ac:dyDescent="0.3">
      <c r="A99" s="494" t="s">
        <v>75</v>
      </c>
      <c r="B99" s="509"/>
      <c r="C99" s="404" t="s">
        <v>113</v>
      </c>
      <c r="D99" s="408">
        <v>0.03</v>
      </c>
      <c r="E99" s="333"/>
      <c r="F99" s="336">
        <f>F98/$B$98</f>
        <v>3.1592219999999997E-2</v>
      </c>
      <c r="G99" s="409"/>
      <c r="H99" s="325"/>
    </row>
    <row r="100" spans="1:10" ht="19.5" customHeight="1" x14ac:dyDescent="0.3">
      <c r="A100" s="496"/>
      <c r="B100" s="510"/>
      <c r="C100" s="404" t="s">
        <v>77</v>
      </c>
      <c r="D100" s="410">
        <v>0.03</v>
      </c>
      <c r="F100" s="341"/>
      <c r="G100" s="411"/>
      <c r="H100" s="325"/>
    </row>
    <row r="101" spans="1:10" ht="18.75" x14ac:dyDescent="0.3">
      <c r="C101" s="404" t="s">
        <v>78</v>
      </c>
      <c r="D101" s="405">
        <f>D100*$B$98</f>
        <v>15</v>
      </c>
      <c r="F101" s="341"/>
      <c r="G101" s="409"/>
      <c r="H101" s="325"/>
    </row>
    <row r="102" spans="1:10" ht="19.5" customHeight="1" x14ac:dyDescent="0.3">
      <c r="C102" s="412" t="s">
        <v>79</v>
      </c>
      <c r="D102" s="413">
        <f>D101/B34</f>
        <v>15</v>
      </c>
      <c r="F102" s="345"/>
      <c r="G102" s="409"/>
      <c r="H102" s="325"/>
      <c r="J102" s="414"/>
    </row>
    <row r="103" spans="1:10" ht="18.75" x14ac:dyDescent="0.3">
      <c r="C103" s="415" t="s">
        <v>114</v>
      </c>
      <c r="D103" s="416">
        <f>AVERAGE(E91:E94,G91:G94)</f>
        <v>10302658.259870473</v>
      </c>
      <c r="F103" s="345"/>
      <c r="G103" s="417"/>
      <c r="H103" s="325"/>
      <c r="J103" s="418"/>
    </row>
    <row r="104" spans="1:10" ht="18.75" x14ac:dyDescent="0.3">
      <c r="C104" s="381" t="s">
        <v>81</v>
      </c>
      <c r="D104" s="419">
        <f>STDEV(E91:E94,G91:G94)/D103</f>
        <v>7.8595929878989019E-3</v>
      </c>
      <c r="F104" s="345"/>
      <c r="G104" s="409"/>
      <c r="H104" s="325"/>
      <c r="J104" s="418"/>
    </row>
    <row r="105" spans="1:10" ht="19.5" customHeight="1" x14ac:dyDescent="0.3">
      <c r="C105" s="384" t="s">
        <v>19</v>
      </c>
      <c r="D105" s="420">
        <f>COUNT(E91:E94,G91:G94)</f>
        <v>6</v>
      </c>
      <c r="F105" s="345"/>
      <c r="G105" s="409"/>
      <c r="H105" s="325"/>
      <c r="J105" s="418"/>
    </row>
    <row r="106" spans="1:10" ht="19.5" customHeight="1" x14ac:dyDescent="0.3">
      <c r="A106" s="349"/>
      <c r="B106" s="349"/>
      <c r="C106" s="349"/>
      <c r="D106" s="349"/>
      <c r="E106" s="349"/>
    </row>
    <row r="107" spans="1:10" ht="26.25" customHeight="1" x14ac:dyDescent="0.4">
      <c r="A107" s="297" t="s">
        <v>115</v>
      </c>
      <c r="B107" s="298">
        <v>900</v>
      </c>
      <c r="C107" s="421" t="s">
        <v>116</v>
      </c>
      <c r="D107" s="422" t="s">
        <v>60</v>
      </c>
      <c r="E107" s="423" t="s">
        <v>117</v>
      </c>
      <c r="F107" s="424" t="s">
        <v>118</v>
      </c>
    </row>
    <row r="108" spans="1:10" ht="26.25" customHeight="1" x14ac:dyDescent="0.4">
      <c r="A108" s="299" t="s">
        <v>119</v>
      </c>
      <c r="B108" s="300">
        <v>5</v>
      </c>
      <c r="C108" s="425">
        <v>1</v>
      </c>
      <c r="D108" s="426">
        <v>12650242</v>
      </c>
      <c r="E108" s="427">
        <f>IF(ISBLANK(D108),"-",D108/$D$103*$D$100*$B$116)</f>
        <v>132.60908995900019</v>
      </c>
      <c r="F108" s="428">
        <f t="shared" ref="F108:F113" si="1">IF(ISBLANK(D108), "-", E108/$B$56)</f>
        <v>0.82880681224375119</v>
      </c>
    </row>
    <row r="109" spans="1:10" ht="26.25" customHeight="1" x14ac:dyDescent="0.4">
      <c r="A109" s="299" t="s">
        <v>92</v>
      </c>
      <c r="B109" s="300">
        <v>20</v>
      </c>
      <c r="C109" s="425">
        <v>2</v>
      </c>
      <c r="D109" s="426">
        <v>12388733</v>
      </c>
      <c r="E109" s="429">
        <f t="shared" ref="E108:E113" si="2">IF(ISBLANK(D109),"-",D109/$D$103*$D$100*$B$116)</f>
        <v>129.86776133413369</v>
      </c>
      <c r="F109" s="430">
        <f t="shared" si="1"/>
        <v>0.81167350833833551</v>
      </c>
    </row>
    <row r="110" spans="1:10" ht="26.25" customHeight="1" x14ac:dyDescent="0.4">
      <c r="A110" s="299" t="s">
        <v>93</v>
      </c>
      <c r="B110" s="300">
        <v>1</v>
      </c>
      <c r="C110" s="425">
        <v>3</v>
      </c>
      <c r="D110" s="426">
        <v>11806912</v>
      </c>
      <c r="E110" s="429">
        <f t="shared" si="2"/>
        <v>123.76868802557287</v>
      </c>
      <c r="F110" s="430">
        <f t="shared" si="1"/>
        <v>0.7735543001598304</v>
      </c>
    </row>
    <row r="111" spans="1:10" ht="26.25" customHeight="1" x14ac:dyDescent="0.4">
      <c r="A111" s="299" t="s">
        <v>94</v>
      </c>
      <c r="B111" s="300">
        <v>1</v>
      </c>
      <c r="C111" s="425">
        <v>4</v>
      </c>
      <c r="D111" s="426">
        <v>12344976</v>
      </c>
      <c r="E111" s="429">
        <f t="shared" si="2"/>
        <v>129.40906845305398</v>
      </c>
      <c r="F111" s="430">
        <f t="shared" si="1"/>
        <v>0.80880667783158733</v>
      </c>
    </row>
    <row r="112" spans="1:10" ht="26.25" customHeight="1" x14ac:dyDescent="0.4">
      <c r="A112" s="299" t="s">
        <v>95</v>
      </c>
      <c r="B112" s="300">
        <v>1</v>
      </c>
      <c r="C112" s="425">
        <v>5</v>
      </c>
      <c r="D112" s="426">
        <v>11804963</v>
      </c>
      <c r="E112" s="429">
        <f t="shared" si="2"/>
        <v>123.74825718193128</v>
      </c>
      <c r="F112" s="430">
        <f t="shared" si="1"/>
        <v>0.77342660738707047</v>
      </c>
    </row>
    <row r="113" spans="1:10" ht="26.25" customHeight="1" x14ac:dyDescent="0.4">
      <c r="A113" s="299" t="s">
        <v>97</v>
      </c>
      <c r="B113" s="300">
        <v>1</v>
      </c>
      <c r="C113" s="431">
        <v>6</v>
      </c>
      <c r="D113" s="432">
        <v>12558942</v>
      </c>
      <c r="E113" s="433">
        <f t="shared" si="2"/>
        <v>131.65201657548258</v>
      </c>
      <c r="F113" s="434">
        <f t="shared" si="1"/>
        <v>0.82282510359676608</v>
      </c>
    </row>
    <row r="114" spans="1:10" ht="26.25" customHeight="1" x14ac:dyDescent="0.4">
      <c r="A114" s="299" t="s">
        <v>98</v>
      </c>
      <c r="B114" s="300">
        <v>1</v>
      </c>
      <c r="C114" s="425"/>
      <c r="D114" s="378"/>
      <c r="E114" s="273"/>
      <c r="F114" s="435"/>
    </row>
    <row r="115" spans="1:10" ht="26.25" customHeight="1" x14ac:dyDescent="0.4">
      <c r="A115" s="299" t="s">
        <v>99</v>
      </c>
      <c r="B115" s="300">
        <v>1</v>
      </c>
      <c r="C115" s="425"/>
      <c r="D115" s="436"/>
      <c r="E115" s="437" t="s">
        <v>68</v>
      </c>
      <c r="F115" s="438">
        <f>AVERAGE(F108:F113)</f>
        <v>0.80318216825955691</v>
      </c>
    </row>
    <row r="116" spans="1:10" ht="27" customHeight="1" x14ac:dyDescent="0.4">
      <c r="A116" s="299" t="s">
        <v>100</v>
      </c>
      <c r="B116" s="331">
        <f>(B115/B114)*(B113/B112)*(B111/B110)*(B109/B108)*B107</f>
        <v>3600</v>
      </c>
      <c r="C116" s="439"/>
      <c r="D116" s="440"/>
      <c r="E116" s="398" t="s">
        <v>81</v>
      </c>
      <c r="F116" s="441">
        <f>STDEV(F108:F113)/F115</f>
        <v>3.0033320140825898E-2</v>
      </c>
      <c r="I116" s="273"/>
    </row>
    <row r="117" spans="1:10" ht="27" customHeight="1" x14ac:dyDescent="0.4">
      <c r="A117" s="494" t="s">
        <v>75</v>
      </c>
      <c r="B117" s="495"/>
      <c r="C117" s="442"/>
      <c r="D117" s="443"/>
      <c r="E117" s="444" t="s">
        <v>19</v>
      </c>
      <c r="F117" s="445">
        <f>COUNT(F108:F113)</f>
        <v>6</v>
      </c>
      <c r="I117" s="273"/>
      <c r="J117" s="418"/>
    </row>
    <row r="118" spans="1:10" ht="19.5" customHeight="1" x14ac:dyDescent="0.3">
      <c r="A118" s="496"/>
      <c r="B118" s="497"/>
      <c r="C118" s="273"/>
      <c r="D118" s="273"/>
      <c r="E118" s="273"/>
      <c r="F118" s="378"/>
      <c r="G118" s="273"/>
      <c r="H118" s="273"/>
      <c r="I118" s="273"/>
    </row>
    <row r="119" spans="1:10" ht="18.75" x14ac:dyDescent="0.3">
      <c r="A119" s="454"/>
      <c r="B119" s="295"/>
      <c r="C119" s="273"/>
      <c r="D119" s="273"/>
      <c r="E119" s="273"/>
      <c r="F119" s="378"/>
      <c r="G119" s="273"/>
      <c r="H119" s="273"/>
      <c r="I119" s="273"/>
    </row>
    <row r="120" spans="1:10" ht="26.25" customHeight="1" x14ac:dyDescent="0.4">
      <c r="A120" s="283" t="s">
        <v>103</v>
      </c>
      <c r="B120" s="386" t="s">
        <v>120</v>
      </c>
      <c r="C120" s="498" t="str">
        <f>B20</f>
        <v>Sulphamethoxazole 800 mg, Trimethoprim 160 mg</v>
      </c>
      <c r="D120" s="498"/>
      <c r="E120" s="387" t="s">
        <v>121</v>
      </c>
      <c r="F120" s="387"/>
      <c r="G120" s="388">
        <f>F115</f>
        <v>0.80318216825955691</v>
      </c>
      <c r="H120" s="273"/>
      <c r="I120" s="273"/>
    </row>
    <row r="121" spans="1:10" ht="19.5" customHeight="1" x14ac:dyDescent="0.3">
      <c r="A121" s="446"/>
      <c r="B121" s="446"/>
      <c r="C121" s="447"/>
      <c r="D121" s="447"/>
      <c r="E121" s="447"/>
      <c r="F121" s="447"/>
      <c r="G121" s="447"/>
      <c r="H121" s="447"/>
    </row>
    <row r="122" spans="1:10" ht="18.75" x14ac:dyDescent="0.3">
      <c r="B122" s="499" t="s">
        <v>25</v>
      </c>
      <c r="C122" s="499"/>
      <c r="E122" s="393" t="s">
        <v>26</v>
      </c>
      <c r="F122" s="448"/>
      <c r="G122" s="499" t="s">
        <v>27</v>
      </c>
      <c r="H122" s="499"/>
    </row>
    <row r="123" spans="1:10" ht="18.75" x14ac:dyDescent="0.3">
      <c r="A123" s="449" t="s">
        <v>28</v>
      </c>
      <c r="B123" s="450"/>
      <c r="C123" s="450"/>
      <c r="E123" s="450"/>
      <c r="F123" s="273"/>
      <c r="G123" s="451"/>
      <c r="H123" s="451"/>
    </row>
    <row r="124" spans="1:10" ht="18.75" x14ac:dyDescent="0.3">
      <c r="A124" s="449" t="s">
        <v>29</v>
      </c>
      <c r="B124" s="452"/>
      <c r="C124" s="452"/>
      <c r="E124" s="452"/>
      <c r="F124" s="273"/>
      <c r="G124" s="453"/>
      <c r="H124" s="453"/>
    </row>
    <row r="125" spans="1:10" ht="18.75" x14ac:dyDescent="0.3">
      <c r="A125" s="377"/>
      <c r="B125" s="377"/>
      <c r="C125" s="378"/>
      <c r="D125" s="378"/>
      <c r="E125" s="378"/>
      <c r="F125" s="383"/>
      <c r="G125" s="378"/>
      <c r="H125" s="378"/>
      <c r="I125" s="273"/>
    </row>
    <row r="126" spans="1:10" ht="18.75" x14ac:dyDescent="0.3">
      <c r="A126" s="377"/>
      <c r="B126" s="377"/>
      <c r="C126" s="378"/>
      <c r="D126" s="378"/>
      <c r="E126" s="378"/>
      <c r="F126" s="383"/>
      <c r="G126" s="378"/>
      <c r="H126" s="378"/>
      <c r="I126" s="273"/>
    </row>
    <row r="127" spans="1:10" ht="18.75" x14ac:dyDescent="0.3">
      <c r="A127" s="377"/>
      <c r="B127" s="377"/>
      <c r="C127" s="378"/>
      <c r="D127" s="378"/>
      <c r="E127" s="378"/>
      <c r="F127" s="383"/>
      <c r="G127" s="378"/>
      <c r="H127" s="378"/>
      <c r="I127" s="273"/>
    </row>
    <row r="128" spans="1:10" ht="18.75" x14ac:dyDescent="0.3">
      <c r="A128" s="377"/>
      <c r="B128" s="377"/>
      <c r="C128" s="378"/>
      <c r="D128" s="378"/>
      <c r="E128" s="378"/>
      <c r="F128" s="383"/>
      <c r="G128" s="378"/>
      <c r="H128" s="378"/>
      <c r="I128" s="273"/>
    </row>
    <row r="129" spans="1:9" ht="18.75" x14ac:dyDescent="0.3">
      <c r="A129" s="377"/>
      <c r="B129" s="377"/>
      <c r="C129" s="378"/>
      <c r="D129" s="378"/>
      <c r="E129" s="378"/>
      <c r="F129" s="383"/>
      <c r="G129" s="378"/>
      <c r="H129" s="378"/>
      <c r="I129" s="273"/>
    </row>
    <row r="130" spans="1:9" ht="18.75" x14ac:dyDescent="0.3">
      <c r="A130" s="377"/>
      <c r="B130" s="377"/>
      <c r="C130" s="378"/>
      <c r="D130" s="378"/>
      <c r="E130" s="378"/>
      <c r="F130" s="383"/>
      <c r="G130" s="378"/>
      <c r="H130" s="378"/>
      <c r="I130" s="273"/>
    </row>
    <row r="131" spans="1:9" ht="18.75" x14ac:dyDescent="0.3">
      <c r="A131" s="377"/>
      <c r="B131" s="377"/>
      <c r="C131" s="378"/>
      <c r="D131" s="378"/>
      <c r="E131" s="378"/>
      <c r="F131" s="383"/>
      <c r="G131" s="378"/>
      <c r="H131" s="378"/>
      <c r="I131" s="273"/>
    </row>
    <row r="132" spans="1:9" ht="18.75" x14ac:dyDescent="0.3">
      <c r="A132" s="377"/>
      <c r="B132" s="377"/>
      <c r="C132" s="378"/>
      <c r="D132" s="378"/>
      <c r="E132" s="378"/>
      <c r="F132" s="383"/>
      <c r="G132" s="378"/>
      <c r="H132" s="378"/>
      <c r="I132" s="273"/>
    </row>
    <row r="133" spans="1:9" ht="18.75" x14ac:dyDescent="0.3">
      <c r="A133" s="377"/>
      <c r="B133" s="377"/>
      <c r="C133" s="378"/>
      <c r="D133" s="378"/>
      <c r="E133" s="378"/>
      <c r="F133" s="383"/>
      <c r="G133" s="378"/>
      <c r="H133" s="378"/>
      <c r="I133" s="273"/>
    </row>
    <row r="250" spans="1:1" x14ac:dyDescent="0.25">
      <c r="A250" s="2">
        <v>5</v>
      </c>
    </row>
  </sheetData>
  <sheetProtection formatCells="0" formatColumns="0" formatRows="0" insertColumns="0" insertRows="0" insertHyperlinks="0" deleteColumns="0" deleteRows="0" sort="0" autoFilter="0" pivotTables="0"/>
  <mergeCells count="34"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I39:I40"/>
    <mergeCell ref="A46:B47"/>
    <mergeCell ref="C60:C63"/>
    <mergeCell ref="D60:D63"/>
    <mergeCell ref="C64:C67"/>
    <mergeCell ref="D64:D67"/>
    <mergeCell ref="I92:I93"/>
    <mergeCell ref="A99:B100"/>
    <mergeCell ref="C68:C71"/>
    <mergeCell ref="D68:D71"/>
    <mergeCell ref="A70:B71"/>
    <mergeCell ref="C76:D76"/>
    <mergeCell ref="B79:C79"/>
    <mergeCell ref="B80:C80"/>
    <mergeCell ref="A117:B118"/>
    <mergeCell ref="C120:D120"/>
    <mergeCell ref="B122:C122"/>
    <mergeCell ref="G122:H122"/>
    <mergeCell ref="C82:G82"/>
    <mergeCell ref="C84:H84"/>
    <mergeCell ref="C85:H85"/>
    <mergeCell ref="F89:G89"/>
  </mergeCells>
  <conditionalFormatting sqref="E51">
    <cfRule type="cellIs" dxfId="7" priority="1" operator="greaterThan">
      <formula>0.02</formula>
    </cfRule>
  </conditionalFormatting>
  <conditionalFormatting sqref="D51">
    <cfRule type="cellIs" dxfId="6" priority="2" operator="greaterThan">
      <formula>0.02</formula>
    </cfRule>
  </conditionalFormatting>
  <conditionalFormatting sqref="H73">
    <cfRule type="cellIs" dxfId="5" priority="3" operator="greaterThan">
      <formula>0.02</formula>
    </cfRule>
  </conditionalFormatting>
  <conditionalFormatting sqref="D104">
    <cfRule type="cellIs" dxfId="4" priority="4" operator="greaterThan">
      <formula>0.02</formula>
    </cfRule>
  </conditionalFormatting>
  <conditionalFormatting sqref="I39">
    <cfRule type="cellIs" dxfId="3" priority="5" operator="lessThanOrEqual">
      <formula>0.02</formula>
    </cfRule>
  </conditionalFormatting>
  <conditionalFormatting sqref="I39">
    <cfRule type="cellIs" dxfId="2" priority="6" operator="greaterThan">
      <formula>0.02</formula>
    </cfRule>
  </conditionalFormatting>
  <conditionalFormatting sqref="I92">
    <cfRule type="cellIs" dxfId="1" priority="7" operator="lessThanOrEqual">
      <formula>0.02</formula>
    </cfRule>
  </conditionalFormatting>
  <conditionalFormatting sqref="I92">
    <cfRule type="cellIs" dxfId="0" priority="8" operator="greaterThan">
      <formula>0.02</formula>
    </cfRule>
  </conditionalFormatting>
  <pageMargins left="0.7" right="0.7" top="0.75" bottom="0.75" header="0.3" footer="0.3"/>
  <pageSetup scale="23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61"/>
  <sheetViews>
    <sheetView topLeftCell="A28" workbookViewId="0">
      <selection activeCell="B39" sqref="B39:E53"/>
    </sheetView>
  </sheetViews>
  <sheetFormatPr defaultRowHeight="13.5" x14ac:dyDescent="0.25"/>
  <cols>
    <col min="1" max="1" width="27.5703125" style="462" customWidth="1"/>
    <col min="2" max="2" width="53.140625" style="462" customWidth="1"/>
    <col min="3" max="3" width="31.85546875" style="462" customWidth="1"/>
    <col min="4" max="4" width="25.85546875" style="462" customWidth="1"/>
    <col min="5" max="5" width="25.7109375" style="462" customWidth="1"/>
    <col min="6" max="6" width="23.140625" style="462" customWidth="1"/>
    <col min="7" max="7" width="28.42578125" style="462" customWidth="1"/>
    <col min="8" max="8" width="21.5703125" style="462" customWidth="1"/>
    <col min="9" max="9" width="9.140625" style="462" customWidth="1"/>
    <col min="10" max="16384" width="9.140625" style="44"/>
  </cols>
  <sheetData>
    <row r="14" spans="1:6" ht="15" customHeight="1" x14ac:dyDescent="0.3">
      <c r="A14" s="1"/>
      <c r="C14" s="3"/>
      <c r="F14" s="3"/>
    </row>
    <row r="15" spans="1:6" ht="18.75" customHeight="1" x14ac:dyDescent="0.3">
      <c r="A15" s="484" t="s">
        <v>0</v>
      </c>
      <c r="B15" s="484"/>
      <c r="C15" s="484"/>
      <c r="D15" s="484"/>
      <c r="E15" s="484"/>
    </row>
    <row r="16" spans="1:6" ht="16.5" customHeight="1" x14ac:dyDescent="0.3">
      <c r="A16" s="90" t="s">
        <v>1</v>
      </c>
      <c r="B16" s="59" t="s">
        <v>2</v>
      </c>
    </row>
    <row r="17" spans="1:5" ht="16.5" customHeight="1" x14ac:dyDescent="0.3">
      <c r="A17" s="8" t="s">
        <v>3</v>
      </c>
      <c r="B17" s="8" t="s">
        <v>5</v>
      </c>
      <c r="D17" s="9"/>
      <c r="E17" s="72"/>
    </row>
    <row r="18" spans="1:5" ht="16.5" customHeight="1" x14ac:dyDescent="0.3">
      <c r="A18" s="75" t="s">
        <v>4</v>
      </c>
      <c r="B18" s="481" t="s">
        <v>125</v>
      </c>
      <c r="C18" s="72"/>
      <c r="D18" s="72"/>
      <c r="E18" s="72"/>
    </row>
    <row r="19" spans="1:5" ht="16.5" customHeight="1" x14ac:dyDescent="0.3">
      <c r="A19" s="75" t="s">
        <v>6</v>
      </c>
      <c r="B19" s="482">
        <v>99.66</v>
      </c>
      <c r="C19" s="72"/>
      <c r="D19" s="72"/>
      <c r="E19" s="72"/>
    </row>
    <row r="20" spans="1:5" ht="16.5" customHeight="1" x14ac:dyDescent="0.3">
      <c r="A20" s="8" t="s">
        <v>8</v>
      </c>
      <c r="B20" s="482">
        <v>16.32</v>
      </c>
      <c r="C20" s="72"/>
      <c r="D20" s="72"/>
      <c r="E20" s="72"/>
    </row>
    <row r="21" spans="1:5" ht="16.5" customHeight="1" x14ac:dyDescent="0.3">
      <c r="A21" s="8" t="s">
        <v>10</v>
      </c>
      <c r="B21" s="483">
        <f>B20/50*2/20</f>
        <v>3.2640000000000002E-2</v>
      </c>
      <c r="C21" s="72"/>
      <c r="D21" s="72"/>
      <c r="E21" s="72"/>
    </row>
    <row r="22" spans="1:5" ht="15.75" customHeight="1" x14ac:dyDescent="0.25">
      <c r="A22" s="72"/>
      <c r="B22" s="72"/>
      <c r="C22" s="72"/>
      <c r="D22" s="72"/>
      <c r="E22" s="72"/>
    </row>
    <row r="23" spans="1:5" ht="16.5" customHeight="1" x14ac:dyDescent="0.3">
      <c r="A23" s="16" t="s">
        <v>12</v>
      </c>
      <c r="B23" s="15" t="s">
        <v>13</v>
      </c>
      <c r="C23" s="16" t="s">
        <v>14</v>
      </c>
      <c r="D23" s="16" t="s">
        <v>15</v>
      </c>
      <c r="E23" s="16" t="s">
        <v>16</v>
      </c>
    </row>
    <row r="24" spans="1:5" ht="16.5" customHeight="1" x14ac:dyDescent="0.3">
      <c r="A24" s="17">
        <v>1</v>
      </c>
      <c r="B24" s="18">
        <v>10185788</v>
      </c>
      <c r="C24" s="18">
        <v>5752</v>
      </c>
      <c r="D24" s="19">
        <v>1.2</v>
      </c>
      <c r="E24" s="20">
        <v>3.9</v>
      </c>
    </row>
    <row r="25" spans="1:5" ht="16.5" customHeight="1" x14ac:dyDescent="0.3">
      <c r="A25" s="17">
        <v>2</v>
      </c>
      <c r="B25" s="18">
        <v>10176368</v>
      </c>
      <c r="C25" s="18">
        <v>5891</v>
      </c>
      <c r="D25" s="19">
        <v>1.2</v>
      </c>
      <c r="E25" s="19">
        <v>3.9</v>
      </c>
    </row>
    <row r="26" spans="1:5" ht="16.5" customHeight="1" x14ac:dyDescent="0.3">
      <c r="A26" s="17">
        <v>3</v>
      </c>
      <c r="B26" s="18">
        <v>10195929</v>
      </c>
      <c r="C26" s="18">
        <v>5899.7</v>
      </c>
      <c r="D26" s="19">
        <v>1.2</v>
      </c>
      <c r="E26" s="19">
        <v>3.9</v>
      </c>
    </row>
    <row r="27" spans="1:5" ht="16.5" customHeight="1" x14ac:dyDescent="0.3">
      <c r="A27" s="17">
        <v>4</v>
      </c>
      <c r="B27" s="18">
        <v>10207041</v>
      </c>
      <c r="C27" s="18">
        <v>5786.6</v>
      </c>
      <c r="D27" s="19">
        <v>1.2</v>
      </c>
      <c r="E27" s="19">
        <v>3.9</v>
      </c>
    </row>
    <row r="28" spans="1:5" ht="16.5" customHeight="1" x14ac:dyDescent="0.3">
      <c r="A28" s="17">
        <v>5</v>
      </c>
      <c r="B28" s="18">
        <v>10227648</v>
      </c>
      <c r="C28" s="18">
        <v>5894.7</v>
      </c>
      <c r="D28" s="19">
        <v>1.2</v>
      </c>
      <c r="E28" s="19">
        <v>3.9</v>
      </c>
    </row>
    <row r="29" spans="1:5" ht="16.5" customHeight="1" x14ac:dyDescent="0.3">
      <c r="A29" s="17">
        <v>6</v>
      </c>
      <c r="B29" s="21">
        <v>10232934</v>
      </c>
      <c r="C29" s="21">
        <v>5845.4</v>
      </c>
      <c r="D29" s="22">
        <v>1.2</v>
      </c>
      <c r="E29" s="22">
        <v>3.9</v>
      </c>
    </row>
    <row r="30" spans="1:5" ht="16.5" customHeight="1" x14ac:dyDescent="0.3">
      <c r="A30" s="23" t="s">
        <v>17</v>
      </c>
      <c r="B30" s="24">
        <f>AVERAGE(B24:B29)</f>
        <v>10204284.666666666</v>
      </c>
      <c r="C30" s="25">
        <f>AVERAGE(C24:C29)</f>
        <v>5844.9000000000005</v>
      </c>
      <c r="D30" s="26">
        <f>AVERAGE(D24:D29)</f>
        <v>1.2</v>
      </c>
      <c r="E30" s="26">
        <f>AVERAGE(E24:E29)</f>
        <v>3.9</v>
      </c>
    </row>
    <row r="31" spans="1:5" ht="16.5" customHeight="1" x14ac:dyDescent="0.3">
      <c r="A31" s="27" t="s">
        <v>18</v>
      </c>
      <c r="B31" s="28">
        <f>(STDEV(B24:B29)/B30)</f>
        <v>2.2198283043471717E-3</v>
      </c>
      <c r="C31" s="29"/>
      <c r="D31" s="29"/>
      <c r="E31" s="30"/>
    </row>
    <row r="32" spans="1:5" s="462" customFormat="1" ht="16.5" customHeight="1" x14ac:dyDescent="0.3">
      <c r="A32" s="31" t="s">
        <v>19</v>
      </c>
      <c r="B32" s="32">
        <f>COUNT(B24:B29)</f>
        <v>6</v>
      </c>
      <c r="C32" s="33"/>
      <c r="D32" s="73"/>
      <c r="E32" s="35"/>
    </row>
    <row r="33" spans="1:5" s="462" customFormat="1" ht="15.75" customHeight="1" x14ac:dyDescent="0.25">
      <c r="A33" s="72"/>
      <c r="B33" s="72"/>
      <c r="C33" s="72"/>
      <c r="D33" s="72"/>
      <c r="E33" s="72"/>
    </row>
    <row r="34" spans="1:5" s="462" customFormat="1" ht="16.5" customHeight="1" x14ac:dyDescent="0.3">
      <c r="A34" s="75" t="s">
        <v>20</v>
      </c>
      <c r="B34" s="40" t="s">
        <v>21</v>
      </c>
      <c r="C34" s="39"/>
      <c r="D34" s="39"/>
      <c r="E34" s="39"/>
    </row>
    <row r="35" spans="1:5" ht="16.5" customHeight="1" x14ac:dyDescent="0.3">
      <c r="A35" s="75"/>
      <c r="B35" s="40" t="s">
        <v>22</v>
      </c>
      <c r="C35" s="39"/>
      <c r="D35" s="39"/>
      <c r="E35" s="39"/>
    </row>
    <row r="36" spans="1:5" ht="16.5" customHeight="1" x14ac:dyDescent="0.3">
      <c r="A36" s="75"/>
      <c r="B36" s="40" t="s">
        <v>23</v>
      </c>
      <c r="C36" s="39"/>
      <c r="D36" s="39"/>
      <c r="E36" s="39"/>
    </row>
    <row r="37" spans="1:5" ht="15.75" customHeight="1" x14ac:dyDescent="0.25">
      <c r="A37" s="72"/>
      <c r="B37" s="72"/>
      <c r="C37" s="72"/>
      <c r="D37" s="72"/>
      <c r="E37" s="72"/>
    </row>
    <row r="38" spans="1:5" ht="16.5" customHeight="1" x14ac:dyDescent="0.3">
      <c r="A38" s="90" t="s">
        <v>1</v>
      </c>
      <c r="B38" s="59" t="s">
        <v>24</v>
      </c>
    </row>
    <row r="39" spans="1:5" ht="16.5" customHeight="1" x14ac:dyDescent="0.3">
      <c r="A39" s="75" t="s">
        <v>4</v>
      </c>
      <c r="B39" s="8" t="s">
        <v>125</v>
      </c>
      <c r="C39" s="72"/>
      <c r="D39" s="72"/>
      <c r="E39" s="72"/>
    </row>
    <row r="40" spans="1:5" ht="16.5" customHeight="1" x14ac:dyDescent="0.3">
      <c r="A40" s="75" t="s">
        <v>6</v>
      </c>
      <c r="B40" s="531">
        <v>99.66</v>
      </c>
      <c r="C40" s="72"/>
      <c r="D40" s="72"/>
      <c r="E40" s="72"/>
    </row>
    <row r="41" spans="1:5" ht="16.5" customHeight="1" x14ac:dyDescent="0.3">
      <c r="A41" s="8" t="s">
        <v>8</v>
      </c>
      <c r="B41" s="12">
        <v>16.12</v>
      </c>
      <c r="C41" s="72"/>
      <c r="D41" s="72"/>
      <c r="E41" s="72"/>
    </row>
    <row r="42" spans="1:5" ht="16.5" customHeight="1" x14ac:dyDescent="0.3">
      <c r="A42" s="8" t="s">
        <v>10</v>
      </c>
      <c r="B42" s="13">
        <f>B41/50*5/50</f>
        <v>3.2240000000000005E-2</v>
      </c>
      <c r="C42" s="72"/>
      <c r="D42" s="72"/>
      <c r="E42" s="72"/>
    </row>
    <row r="43" spans="1:5" ht="15.75" customHeight="1" x14ac:dyDescent="0.25">
      <c r="A43" s="72"/>
      <c r="B43" s="72"/>
      <c r="C43" s="72"/>
      <c r="D43" s="72"/>
      <c r="E43" s="72"/>
    </row>
    <row r="44" spans="1:5" ht="16.5" customHeight="1" x14ac:dyDescent="0.3">
      <c r="A44" s="16" t="s">
        <v>12</v>
      </c>
      <c r="B44" s="15" t="s">
        <v>13</v>
      </c>
      <c r="C44" s="16" t="s">
        <v>14</v>
      </c>
      <c r="D44" s="16" t="s">
        <v>15</v>
      </c>
      <c r="E44" s="16" t="s">
        <v>16</v>
      </c>
    </row>
    <row r="45" spans="1:5" ht="16.5" customHeight="1" x14ac:dyDescent="0.3">
      <c r="A45" s="17">
        <v>1</v>
      </c>
      <c r="B45" s="18">
        <v>10960661</v>
      </c>
      <c r="C45" s="18">
        <v>8855.9</v>
      </c>
      <c r="D45" s="19">
        <v>1.18</v>
      </c>
      <c r="E45" s="20">
        <v>4.57</v>
      </c>
    </row>
    <row r="46" spans="1:5" ht="16.5" customHeight="1" x14ac:dyDescent="0.3">
      <c r="A46" s="17">
        <v>2</v>
      </c>
      <c r="B46" s="18">
        <v>11134987</v>
      </c>
      <c r="C46" s="18">
        <v>8792.5</v>
      </c>
      <c r="D46" s="19">
        <v>1.17</v>
      </c>
      <c r="E46" s="19">
        <v>4.4800000000000004</v>
      </c>
    </row>
    <row r="47" spans="1:5" ht="16.5" customHeight="1" x14ac:dyDescent="0.3">
      <c r="A47" s="17">
        <v>3</v>
      </c>
      <c r="B47" s="18">
        <v>11126586</v>
      </c>
      <c r="C47" s="18">
        <v>8849.7000000000007</v>
      </c>
      <c r="D47" s="19">
        <v>1.18</v>
      </c>
      <c r="E47" s="19">
        <v>4.45</v>
      </c>
    </row>
    <row r="48" spans="1:5" ht="16.5" customHeight="1" x14ac:dyDescent="0.3">
      <c r="A48" s="17">
        <v>4</v>
      </c>
      <c r="B48" s="18">
        <v>11090612</v>
      </c>
      <c r="C48" s="18">
        <v>8955.9</v>
      </c>
      <c r="D48" s="19">
        <v>1.23</v>
      </c>
      <c r="E48" s="19">
        <v>4.4400000000000004</v>
      </c>
    </row>
    <row r="49" spans="1:7" ht="16.5" customHeight="1" x14ac:dyDescent="0.3">
      <c r="A49" s="17">
        <v>5</v>
      </c>
      <c r="B49" s="18">
        <v>11108918</v>
      </c>
      <c r="C49" s="18">
        <v>8975.5</v>
      </c>
      <c r="D49" s="19">
        <v>1.21</v>
      </c>
      <c r="E49" s="19">
        <v>4.45</v>
      </c>
    </row>
    <row r="50" spans="1:7" ht="16.5" customHeight="1" x14ac:dyDescent="0.3">
      <c r="A50" s="17">
        <v>6</v>
      </c>
      <c r="B50" s="21">
        <v>11066449</v>
      </c>
      <c r="C50" s="21">
        <v>8990.1</v>
      </c>
      <c r="D50" s="22">
        <v>1.23</v>
      </c>
      <c r="E50" s="22">
        <v>4.4400000000000004</v>
      </c>
    </row>
    <row r="51" spans="1:7" ht="16.5" customHeight="1" x14ac:dyDescent="0.3">
      <c r="A51" s="23" t="s">
        <v>17</v>
      </c>
      <c r="B51" s="24">
        <f>AVERAGE(B45:B50)</f>
        <v>11081368.833333334</v>
      </c>
      <c r="C51" s="25">
        <f>AVERAGE(C45:C50)</f>
        <v>8903.2666666666664</v>
      </c>
      <c r="D51" s="26">
        <f>AVERAGE(D45:D50)</f>
        <v>1.2</v>
      </c>
      <c r="E51" s="26">
        <f>AVERAGE(E45:E50)</f>
        <v>4.4716666666666667</v>
      </c>
    </row>
    <row r="52" spans="1:7" ht="16.5" customHeight="1" x14ac:dyDescent="0.3">
      <c r="A52" s="27" t="s">
        <v>18</v>
      </c>
      <c r="B52" s="28">
        <f>(STDEV(B45:B50)/B51)</f>
        <v>5.7862892067681278E-3</v>
      </c>
      <c r="C52" s="29"/>
      <c r="D52" s="29"/>
      <c r="E52" s="30"/>
    </row>
    <row r="53" spans="1:7" s="462" customFormat="1" ht="16.5" customHeight="1" x14ac:dyDescent="0.3">
      <c r="A53" s="31" t="s">
        <v>19</v>
      </c>
      <c r="B53" s="32">
        <f>COUNT(B45:B50)</f>
        <v>6</v>
      </c>
      <c r="C53" s="33"/>
      <c r="D53" s="73"/>
      <c r="E53" s="35"/>
    </row>
    <row r="54" spans="1:7" s="462" customFormat="1" ht="15.75" customHeight="1" x14ac:dyDescent="0.25">
      <c r="A54" s="72"/>
      <c r="B54" s="72"/>
      <c r="C54" s="72"/>
      <c r="D54" s="72"/>
      <c r="E54" s="72"/>
    </row>
    <row r="55" spans="1:7" s="462" customFormat="1" ht="16.5" customHeight="1" x14ac:dyDescent="0.3">
      <c r="A55" s="75" t="s">
        <v>20</v>
      </c>
      <c r="B55" s="40" t="s">
        <v>21</v>
      </c>
      <c r="C55" s="39"/>
      <c r="D55" s="39"/>
      <c r="E55" s="39"/>
    </row>
    <row r="56" spans="1:7" ht="16.5" customHeight="1" x14ac:dyDescent="0.3">
      <c r="A56" s="75"/>
      <c r="B56" s="40" t="s">
        <v>22</v>
      </c>
      <c r="C56" s="39"/>
      <c r="D56" s="39"/>
      <c r="E56" s="39"/>
    </row>
    <row r="57" spans="1:7" ht="16.5" customHeight="1" x14ac:dyDescent="0.3">
      <c r="A57" s="75"/>
      <c r="B57" s="40" t="s">
        <v>23</v>
      </c>
      <c r="C57" s="39"/>
      <c r="D57" s="39"/>
      <c r="E57" s="39"/>
    </row>
    <row r="58" spans="1:7" ht="14.25" customHeight="1" thickBot="1" x14ac:dyDescent="0.3">
      <c r="A58" s="41"/>
      <c r="B58" s="459"/>
      <c r="D58" s="43"/>
      <c r="F58" s="44"/>
      <c r="G58" s="44"/>
    </row>
    <row r="59" spans="1:7" ht="15" customHeight="1" x14ac:dyDescent="0.3">
      <c r="B59" s="485" t="s">
        <v>25</v>
      </c>
      <c r="C59" s="485"/>
      <c r="E59" s="45" t="s">
        <v>26</v>
      </c>
      <c r="F59" s="46"/>
      <c r="G59" s="45" t="s">
        <v>27</v>
      </c>
    </row>
    <row r="60" spans="1:7" ht="15" customHeight="1" x14ac:dyDescent="0.3">
      <c r="A60" s="47" t="s">
        <v>28</v>
      </c>
      <c r="B60" s="49" t="s">
        <v>127</v>
      </c>
      <c r="C60" s="49"/>
      <c r="E60" s="49"/>
      <c r="G60" s="49"/>
    </row>
    <row r="61" spans="1:7" ht="15" customHeight="1" x14ac:dyDescent="0.3">
      <c r="A61" s="47" t="s">
        <v>29</v>
      </c>
      <c r="B61" s="50"/>
      <c r="C61" s="50"/>
      <c r="E61" s="50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4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SST</vt:lpstr>
      <vt:lpstr>Uniformity</vt:lpstr>
      <vt:lpstr>SULPHAMETHOXAZOLE</vt:lpstr>
      <vt:lpstr>TRIMETHROPRIM</vt:lpstr>
      <vt:lpstr>SST (Trim)</vt:lpstr>
      <vt:lpstr>SULPHAMETHOXAZOLE!Print_Area</vt:lpstr>
      <vt:lpstr>TRIMETHROPRIM!Print_Area</vt:lpstr>
      <vt:lpstr>Uniformity!Print_Area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m&amp;c</dc:creator>
  <cp:keywords/>
  <dc:description/>
  <cp:lastModifiedBy>Joy</cp:lastModifiedBy>
  <cp:lastPrinted>2015-06-16T11:39:49Z</cp:lastPrinted>
  <dcterms:created xsi:type="dcterms:W3CDTF">2005-07-05T10:19:27Z</dcterms:created>
  <dcterms:modified xsi:type="dcterms:W3CDTF">2015-06-16T11:40:50Z</dcterms:modified>
  <cp:category/>
</cp:coreProperties>
</file>