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" sheetId="2" r:id="rId2"/>
    <sheet name="SULPHAMETHOXAZOLE" sheetId="3" r:id="rId3"/>
    <sheet name="TRIMETHROPRIM" sheetId="4" r:id="rId4"/>
    <sheet name="SST (Trim)" sheetId="5" r:id="rId5"/>
  </sheets>
  <definedNames>
    <definedName name="_xlnm.Print_Area" localSheetId="2">SULPHAMETHOXAZOLE!$A$1:$J$126</definedName>
    <definedName name="_xlnm.Print_Area" localSheetId="3">TRIMETHROPRIM!$A$1:$I$126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3" l="1"/>
  <c r="F112" i="3"/>
  <c r="F109" i="3"/>
  <c r="E108" i="3"/>
  <c r="B116" i="3" l="1"/>
  <c r="G91" i="3"/>
  <c r="E91" i="3"/>
  <c r="B53" i="5"/>
  <c r="E51" i="5"/>
  <c r="D51" i="5"/>
  <c r="C51" i="5"/>
  <c r="B51" i="5"/>
  <c r="B52" i="5" s="1"/>
  <c r="B42" i="5"/>
  <c r="B53" i="1"/>
  <c r="E51" i="1"/>
  <c r="D51" i="1"/>
  <c r="C51" i="1"/>
  <c r="B51" i="1"/>
  <c r="B52" i="1" s="1"/>
  <c r="B42" i="1"/>
  <c r="E30" i="5" l="1"/>
  <c r="D30" i="5"/>
  <c r="C30" i="5"/>
  <c r="B30" i="5"/>
  <c r="B21" i="5"/>
  <c r="B32" i="5"/>
  <c r="B31" i="5"/>
  <c r="E30" i="1"/>
  <c r="D30" i="1"/>
  <c r="C30" i="1"/>
  <c r="B30" i="1"/>
  <c r="B21" i="1"/>
  <c r="G76" i="3"/>
  <c r="B68" i="3"/>
  <c r="B57" i="3"/>
  <c r="B45" i="3"/>
  <c r="B30" i="3"/>
  <c r="H69" i="4"/>
  <c r="B68" i="4"/>
  <c r="B57" i="4"/>
  <c r="B45" i="4"/>
  <c r="B30" i="4"/>
  <c r="C120" i="4"/>
  <c r="B116" i="4"/>
  <c r="B98" i="4"/>
  <c r="F95" i="4"/>
  <c r="D95" i="4"/>
  <c r="G94" i="4"/>
  <c r="E94" i="4"/>
  <c r="G93" i="4"/>
  <c r="E93" i="4"/>
  <c r="G92" i="4"/>
  <c r="E92" i="4"/>
  <c r="G91" i="4"/>
  <c r="E91" i="4"/>
  <c r="B87" i="4"/>
  <c r="F97" i="4" s="1"/>
  <c r="B81" i="4"/>
  <c r="B83" i="4" s="1"/>
  <c r="B80" i="4"/>
  <c r="B79" i="4"/>
  <c r="C76" i="4"/>
  <c r="H71" i="4"/>
  <c r="G71" i="4"/>
  <c r="G70" i="4"/>
  <c r="H70" i="4" s="1"/>
  <c r="G69" i="4"/>
  <c r="G68" i="4"/>
  <c r="H68" i="4" s="1"/>
  <c r="H67" i="4"/>
  <c r="G67" i="4"/>
  <c r="G66" i="4"/>
  <c r="H66" i="4" s="1"/>
  <c r="H65" i="4"/>
  <c r="G65" i="4"/>
  <c r="G64" i="4"/>
  <c r="H64" i="4" s="1"/>
  <c r="H63" i="4"/>
  <c r="G63" i="4"/>
  <c r="H62" i="4"/>
  <c r="G62" i="4"/>
  <c r="G61" i="4"/>
  <c r="H61" i="4" s="1"/>
  <c r="G60" i="4"/>
  <c r="H60" i="4" s="1"/>
  <c r="C56" i="4"/>
  <c r="B55" i="4"/>
  <c r="D48" i="4"/>
  <c r="D49" i="4" s="1"/>
  <c r="F44" i="4"/>
  <c r="F42" i="4"/>
  <c r="D42" i="4"/>
  <c r="G41" i="4"/>
  <c r="E41" i="4"/>
  <c r="G40" i="4"/>
  <c r="E40" i="4"/>
  <c r="G39" i="4"/>
  <c r="E39" i="4"/>
  <c r="G38" i="4"/>
  <c r="E38" i="4"/>
  <c r="B34" i="4"/>
  <c r="D44" i="4" s="1"/>
  <c r="C120" i="3"/>
  <c r="D101" i="3"/>
  <c r="D102" i="3" s="1"/>
  <c r="B98" i="3"/>
  <c r="F97" i="3"/>
  <c r="F95" i="3"/>
  <c r="D95" i="3"/>
  <c r="G94" i="3"/>
  <c r="E94" i="3"/>
  <c r="B87" i="3"/>
  <c r="D97" i="3" s="1"/>
  <c r="B81" i="3"/>
  <c r="B83" i="3" s="1"/>
  <c r="B80" i="3"/>
  <c r="B79" i="3"/>
  <c r="C76" i="3"/>
  <c r="H71" i="3"/>
  <c r="G71" i="3"/>
  <c r="G70" i="3"/>
  <c r="H70" i="3" s="1"/>
  <c r="G69" i="3"/>
  <c r="H69" i="3" s="1"/>
  <c r="G68" i="3"/>
  <c r="H68" i="3" s="1"/>
  <c r="B69" i="3"/>
  <c r="H67" i="3"/>
  <c r="G67" i="3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C56" i="3"/>
  <c r="B55" i="3"/>
  <c r="D48" i="3"/>
  <c r="D49" i="3" s="1"/>
  <c r="F42" i="3"/>
  <c r="D42" i="3"/>
  <c r="I39" i="3" s="1"/>
  <c r="G41" i="3"/>
  <c r="E41" i="3"/>
  <c r="G40" i="3"/>
  <c r="E40" i="3"/>
  <c r="G39" i="3"/>
  <c r="E39" i="3"/>
  <c r="G38" i="3"/>
  <c r="E38" i="3"/>
  <c r="B34" i="3"/>
  <c r="F44" i="3" s="1"/>
  <c r="D49" i="2"/>
  <c r="C46" i="2"/>
  <c r="C49" i="2" s="1"/>
  <c r="C45" i="2"/>
  <c r="D41" i="2"/>
  <c r="D40" i="2"/>
  <c r="D37" i="2"/>
  <c r="D36" i="2"/>
  <c r="D33" i="2"/>
  <c r="D32" i="2"/>
  <c r="D29" i="2"/>
  <c r="D28" i="2"/>
  <c r="D26" i="2"/>
  <c r="D25" i="2"/>
  <c r="D24" i="2"/>
  <c r="C19" i="2"/>
  <c r="B32" i="1"/>
  <c r="B31" i="1"/>
  <c r="I92" i="3" l="1"/>
  <c r="I92" i="4"/>
  <c r="D101" i="4"/>
  <c r="D102" i="4" s="1"/>
  <c r="E93" i="3"/>
  <c r="G93" i="3"/>
  <c r="E92" i="3"/>
  <c r="G92" i="3"/>
  <c r="H72" i="3"/>
  <c r="H73" i="3" s="1"/>
  <c r="F45" i="3"/>
  <c r="F46" i="3" s="1"/>
  <c r="D98" i="3"/>
  <c r="D99" i="3" s="1"/>
  <c r="F98" i="3"/>
  <c r="F99" i="3" s="1"/>
  <c r="D50" i="3"/>
  <c r="D51" i="3" s="1"/>
  <c r="G42" i="3"/>
  <c r="H74" i="3"/>
  <c r="B69" i="4"/>
  <c r="E95" i="4"/>
  <c r="D50" i="4"/>
  <c r="D51" i="4" s="1"/>
  <c r="I39" i="4"/>
  <c r="G42" i="4"/>
  <c r="D45" i="4"/>
  <c r="D46" i="4" s="1"/>
  <c r="F45" i="4"/>
  <c r="F46" i="4" s="1"/>
  <c r="G95" i="4"/>
  <c r="D52" i="4"/>
  <c r="H72" i="4"/>
  <c r="G76" i="4" s="1"/>
  <c r="D103" i="4"/>
  <c r="E42" i="4"/>
  <c r="F98" i="4"/>
  <c r="F99" i="4" s="1"/>
  <c r="C50" i="2"/>
  <c r="D52" i="3"/>
  <c r="H74" i="4"/>
  <c r="D30" i="2"/>
  <c r="D34" i="2"/>
  <c r="D38" i="2"/>
  <c r="D42" i="2"/>
  <c r="B49" i="2"/>
  <c r="D50" i="2"/>
  <c r="D44" i="3"/>
  <c r="D45" i="3" s="1"/>
  <c r="D46" i="3" s="1"/>
  <c r="D97" i="4"/>
  <c r="D98" i="4" s="1"/>
  <c r="D99" i="4" s="1"/>
  <c r="D105" i="4"/>
  <c r="D27" i="2"/>
  <c r="D31" i="2"/>
  <c r="D35" i="2"/>
  <c r="D39" i="2"/>
  <c r="D43" i="2"/>
  <c r="E42" i="3"/>
  <c r="D104" i="4" l="1"/>
  <c r="E108" i="4"/>
  <c r="F108" i="4" s="1"/>
  <c r="E113" i="4"/>
  <c r="F113" i="4" s="1"/>
  <c r="E112" i="4"/>
  <c r="F112" i="4" s="1"/>
  <c r="E110" i="4"/>
  <c r="F110" i="4" s="1"/>
  <c r="E109" i="4"/>
  <c r="F109" i="4" s="1"/>
  <c r="E111" i="4"/>
  <c r="F111" i="4" s="1"/>
  <c r="G95" i="3"/>
  <c r="D103" i="3"/>
  <c r="E95" i="3"/>
  <c r="D105" i="3"/>
  <c r="H73" i="4"/>
  <c r="D104" i="3" l="1"/>
  <c r="E113" i="3"/>
  <c r="F113" i="3" s="1"/>
  <c r="E112" i="3"/>
  <c r="E109" i="3"/>
  <c r="E111" i="3"/>
  <c r="F111" i="3" s="1"/>
  <c r="F108" i="3"/>
  <c r="E110" i="3"/>
  <c r="F110" i="3" s="1"/>
  <c r="F117" i="4"/>
  <c r="F115" i="4"/>
  <c r="F117" i="3" l="1"/>
  <c r="F115" i="3"/>
  <c r="F116" i="3"/>
  <c r="F116" i="4"/>
  <c r="G120" i="4"/>
</calcChain>
</file>

<file path=xl/sharedStrings.xml><?xml version="1.0" encoding="utf-8"?>
<sst xmlns="http://schemas.openxmlformats.org/spreadsheetml/2006/main" count="436" uniqueCount="128">
  <si>
    <t>HPLC System Suitability Report</t>
  </si>
  <si>
    <t>Analysis Data</t>
  </si>
  <si>
    <t>Assay</t>
  </si>
  <si>
    <t>Sample(s)</t>
  </si>
  <si>
    <t>Reference Substance:</t>
  </si>
  <si>
    <t>COTRIMOXAZOLE 960 TABLETS</t>
  </si>
  <si>
    <t>% age Purity:</t>
  </si>
  <si>
    <t>NDQD201504192</t>
  </si>
  <si>
    <t>Weight (mg):</t>
  </si>
  <si>
    <t>Sulphamethoxazole 800 mg, Trimethoprim 160 mg</t>
  </si>
  <si>
    <t>Standard Conc (mg/mL):</t>
  </si>
  <si>
    <t>2015-04-22 14:26:24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</si>
  <si>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</si>
  <si>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</si>
  <si>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</si>
  <si>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</si>
  <si>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</si>
  <si>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</si>
  <si>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</si>
  <si>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</si>
  <si>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</si>
  <si>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</si>
  <si>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</si>
  <si>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</si>
  <si>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</si>
  <si>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</si>
  <si>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</si>
  <si>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</si>
  <si>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</si>
  <si>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</si>
  <si>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</si>
  <si>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</si>
  <si>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</si>
  <si>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</si>
  <si>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</si>
  <si>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</si>
  <si>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</si>
  <si>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</si>
  <si>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</si>
  <si>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</si>
  <si>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</si>
  <si>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</si>
  <si>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</si>
  <si>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</si>
  <si>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</si>
  <si>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Sulfamethoxazole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</si>
  <si>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</si>
  <si>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</si>
  <si>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</si>
  <si>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</si>
  <si>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</si>
  <si>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</si>
  <si>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</si>
  <si>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</si>
  <si>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</si>
  <si>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</si>
  <si>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</si>
  <si>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</si>
  <si>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</si>
  <si>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</si>
  <si>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</si>
  <si>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</si>
  <si>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</si>
  <si>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</si>
  <si>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</si>
  <si>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</si>
  <si>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</si>
  <si>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</si>
  <si>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</si>
  <si>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</si>
  <si>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</si>
  <si>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</si>
  <si>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</si>
  <si>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</si>
  <si>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</si>
  <si>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</si>
  <si>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</si>
  <si>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</si>
  <si>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</si>
  <si>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</si>
  <si>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</si>
  <si>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</si>
  <si>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</si>
  <si>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</si>
  <si>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</si>
  <si>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</si>
  <si>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</si>
  <si>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</si>
  <si>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</si>
  <si>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</si>
  <si>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</si>
  <si>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</si>
  <si>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</si>
  <si>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</si>
  <si>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</si>
  <si>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</si>
  <si>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</si>
  <si>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</si>
  <si>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</si>
  <si>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</si>
  <si>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</si>
  <si>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</si>
  <si>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</si>
  <si>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</si>
  <si>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</si>
  <si>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</si>
  <si>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</si>
  <si>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</si>
  <si>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</si>
  <si>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</si>
  <si>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</si>
  <si>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</si>
  <si>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</si>
  <si>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</si>
  <si>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</si>
  <si>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</si>
  <si>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</si>
  <si>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</si>
  <si>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</si>
  <si>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</si>
  <si>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</si>
  <si>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</si>
  <si>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</si>
  <si>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Trimethoprim</t>
  </si>
  <si>
    <t>NQCL-WRS-T7-1</t>
  </si>
  <si>
    <t>18th May 2015</t>
  </si>
  <si>
    <t>NQCL-PRS-S12-2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</si>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</sst>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5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23" fillId="2" borderId="0" xfId="1" applyFont="1" applyAlignment="1">
      <alignment horizontal="left"/>
    </xf>
    <xf numFmtId="2" fontId="23" fillId="2" borderId="0" xfId="1" applyNumberFormat="1" applyFont="1" applyAlignment="1">
      <alignment horizontal="center"/>
    </xf>
    <xf numFmtId="171" fontId="23" fillId="2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10"/>
      <c r="D17" s="9"/>
      <c r="E17" s="10"/>
    </row>
    <row r="18" spans="1:6" ht="16.5" customHeight="1" x14ac:dyDescent="0.3">
      <c r="A18" s="11" t="s">
        <v>4</v>
      </c>
      <c r="B18" s="464" t="s">
        <v>45</v>
      </c>
      <c r="D18" s="10"/>
      <c r="E18" s="10"/>
    </row>
    <row r="19" spans="1:6" ht="16.5" customHeight="1" x14ac:dyDescent="0.3">
      <c r="A19" s="11" t="s">
        <v>6</v>
      </c>
      <c r="B19" s="465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465">
        <v>16.54</v>
      </c>
      <c r="C20" s="10"/>
      <c r="D20" s="10"/>
      <c r="E20" s="10"/>
    </row>
    <row r="21" spans="1:6" ht="16.5" customHeight="1" x14ac:dyDescent="0.3">
      <c r="A21" s="7" t="s">
        <v>10</v>
      </c>
      <c r="B21" s="465">
        <f>B20/50*10/20</f>
        <v>0.16539999999999999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124494287</v>
      </c>
      <c r="C24" s="18">
        <v>7219.1</v>
      </c>
      <c r="D24" s="19">
        <v>0.9</v>
      </c>
      <c r="E24" s="20">
        <v>8</v>
      </c>
    </row>
    <row r="25" spans="1:6" ht="16.5" customHeight="1" x14ac:dyDescent="0.3">
      <c r="A25" s="17">
        <v>2</v>
      </c>
      <c r="B25" s="18">
        <v>124515508</v>
      </c>
      <c r="C25" s="18">
        <v>7110.8</v>
      </c>
      <c r="D25" s="19">
        <v>0.9</v>
      </c>
      <c r="E25" s="19">
        <v>8</v>
      </c>
    </row>
    <row r="26" spans="1:6" ht="16.5" customHeight="1" x14ac:dyDescent="0.3">
      <c r="A26" s="17">
        <v>3</v>
      </c>
      <c r="B26" s="18">
        <v>124690195</v>
      </c>
      <c r="C26" s="18">
        <v>7163.8</v>
      </c>
      <c r="D26" s="19">
        <v>0.9</v>
      </c>
      <c r="E26" s="19">
        <v>8</v>
      </c>
    </row>
    <row r="27" spans="1:6" ht="16.5" customHeight="1" x14ac:dyDescent="0.3">
      <c r="A27" s="17">
        <v>4</v>
      </c>
      <c r="B27" s="18">
        <v>124710354</v>
      </c>
      <c r="C27" s="18">
        <v>7165.5</v>
      </c>
      <c r="D27" s="19">
        <v>0.9</v>
      </c>
      <c r="E27" s="19">
        <v>8</v>
      </c>
    </row>
    <row r="28" spans="1:6" ht="16.5" customHeight="1" x14ac:dyDescent="0.3">
      <c r="A28" s="17">
        <v>5</v>
      </c>
      <c r="B28" s="18">
        <v>125055542</v>
      </c>
      <c r="C28" s="18">
        <v>7165</v>
      </c>
      <c r="D28" s="19">
        <v>0.9</v>
      </c>
      <c r="E28" s="19">
        <v>8</v>
      </c>
    </row>
    <row r="29" spans="1:6" ht="16.5" customHeight="1" x14ac:dyDescent="0.3">
      <c r="A29" s="17">
        <v>6</v>
      </c>
      <c r="B29" s="21">
        <v>125103762</v>
      </c>
      <c r="C29" s="21">
        <v>7148.2</v>
      </c>
      <c r="D29" s="22">
        <v>0.9</v>
      </c>
      <c r="E29" s="22">
        <v>8</v>
      </c>
    </row>
    <row r="30" spans="1:6" ht="16.5" customHeight="1" x14ac:dyDescent="0.3">
      <c r="A30" s="23" t="s">
        <v>17</v>
      </c>
      <c r="B30" s="24">
        <f>AVERAGE(B24:B29)</f>
        <v>124761608</v>
      </c>
      <c r="C30" s="25">
        <f>AVERAGE(C24:C29)</f>
        <v>7162.0666666666657</v>
      </c>
      <c r="D30" s="26">
        <f>AVERAGE(D24:D29)</f>
        <v>0.9</v>
      </c>
      <c r="E30" s="26">
        <f>AVERAGE(E24:E29)</f>
        <v>8</v>
      </c>
    </row>
    <row r="31" spans="1:6" ht="16.5" customHeight="1" x14ac:dyDescent="0.3">
      <c r="A31" s="27" t="s">
        <v>18</v>
      </c>
      <c r="B31" s="28">
        <f>(STDEV(B24:B29)/B30)</f>
        <v>2.100002156728053E-3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45</v>
      </c>
      <c r="C39" s="72"/>
      <c r="D39" s="72"/>
      <c r="E39" s="72"/>
    </row>
    <row r="40" spans="1:6" ht="16.5" customHeight="1" x14ac:dyDescent="0.3">
      <c r="A40" s="11" t="s">
        <v>6</v>
      </c>
      <c r="B40" s="12">
        <v>99.58</v>
      </c>
      <c r="C40" s="72"/>
      <c r="D40" s="72"/>
      <c r="E40" s="72"/>
    </row>
    <row r="41" spans="1:6" ht="16.5" customHeight="1" x14ac:dyDescent="0.3">
      <c r="A41" s="7" t="s">
        <v>8</v>
      </c>
      <c r="B41" s="12">
        <v>15.36</v>
      </c>
      <c r="C41" s="72"/>
      <c r="D41" s="72"/>
      <c r="E41" s="72"/>
    </row>
    <row r="42" spans="1:6" ht="16.5" customHeight="1" x14ac:dyDescent="0.3">
      <c r="A42" s="7" t="s">
        <v>10</v>
      </c>
      <c r="B42" s="13">
        <f>B41/25*15/50</f>
        <v>0.18431999999999998</v>
      </c>
      <c r="C42" s="72"/>
      <c r="D42" s="72"/>
      <c r="E42" s="72"/>
    </row>
    <row r="43" spans="1:6" ht="15.75" customHeight="1" x14ac:dyDescent="0.25">
      <c r="A43" s="10"/>
      <c r="B43" s="72"/>
      <c r="C43" s="72"/>
      <c r="D43" s="72"/>
      <c r="E43" s="72"/>
    </row>
    <row r="44" spans="1:6" ht="16.5" customHeight="1" x14ac:dyDescent="0.3">
      <c r="A44" s="14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6" ht="16.5" customHeight="1" x14ac:dyDescent="0.3">
      <c r="A45" s="17">
        <v>1</v>
      </c>
      <c r="B45" s="18">
        <v>166860905</v>
      </c>
      <c r="C45" s="18">
        <v>12818.7</v>
      </c>
      <c r="D45" s="19">
        <v>0.94</v>
      </c>
      <c r="E45" s="20">
        <v>8.25</v>
      </c>
    </row>
    <row r="46" spans="1:6" ht="16.5" customHeight="1" x14ac:dyDescent="0.3">
      <c r="A46" s="17">
        <v>2</v>
      </c>
      <c r="B46" s="18">
        <v>167257560</v>
      </c>
      <c r="C46" s="18">
        <v>12817.5</v>
      </c>
      <c r="D46" s="19">
        <v>0.95</v>
      </c>
      <c r="E46" s="19">
        <v>8.26</v>
      </c>
    </row>
    <row r="47" spans="1:6" ht="16.5" customHeight="1" x14ac:dyDescent="0.3">
      <c r="A47" s="17">
        <v>3</v>
      </c>
      <c r="B47" s="18">
        <v>167616800</v>
      </c>
      <c r="C47" s="18">
        <v>12854.3</v>
      </c>
      <c r="D47" s="19">
        <v>0.95</v>
      </c>
      <c r="E47" s="19">
        <v>8.27</v>
      </c>
    </row>
    <row r="48" spans="1:6" ht="16.5" customHeight="1" x14ac:dyDescent="0.3">
      <c r="A48" s="17">
        <v>4</v>
      </c>
      <c r="B48" s="18">
        <v>167556802</v>
      </c>
      <c r="C48" s="18">
        <v>12875.3</v>
      </c>
      <c r="D48" s="19">
        <v>0.94</v>
      </c>
      <c r="E48" s="19">
        <v>8.27</v>
      </c>
    </row>
    <row r="49" spans="1:7" ht="16.5" customHeight="1" x14ac:dyDescent="0.3">
      <c r="A49" s="17">
        <v>5</v>
      </c>
      <c r="B49" s="18">
        <v>167712293</v>
      </c>
      <c r="C49" s="18">
        <v>12920.2</v>
      </c>
      <c r="D49" s="19">
        <v>0.94</v>
      </c>
      <c r="E49" s="19">
        <v>8.27</v>
      </c>
    </row>
    <row r="50" spans="1:7" ht="16.5" customHeight="1" x14ac:dyDescent="0.3">
      <c r="A50" s="17">
        <v>6</v>
      </c>
      <c r="B50" s="21">
        <v>167869753</v>
      </c>
      <c r="C50" s="21">
        <v>12901.6</v>
      </c>
      <c r="D50" s="22">
        <v>0.96</v>
      </c>
      <c r="E50" s="22">
        <v>8.27</v>
      </c>
    </row>
    <row r="51" spans="1:7" ht="16.5" customHeight="1" x14ac:dyDescent="0.3">
      <c r="A51" s="23" t="s">
        <v>17</v>
      </c>
      <c r="B51" s="24">
        <f>AVERAGE(B45:B50)</f>
        <v>167479018.83333334</v>
      </c>
      <c r="C51" s="25">
        <f>AVERAGE(C45:C50)</f>
        <v>12864.6</v>
      </c>
      <c r="D51" s="26">
        <f>AVERAGE(D45:D50)</f>
        <v>0.94666666666666666</v>
      </c>
      <c r="E51" s="26">
        <f>AVERAGE(E45:E50)</f>
        <v>8.2649999999999988</v>
      </c>
    </row>
    <row r="52" spans="1:7" ht="16.5" customHeight="1" x14ac:dyDescent="0.3">
      <c r="A52" s="27" t="s">
        <v>18</v>
      </c>
      <c r="B52" s="28">
        <f>(STDEV(B45:B50)/B51)</f>
        <v>2.1746407895449891E-3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25</v>
      </c>
      <c r="C59" s="46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30</v>
      </c>
      <c r="B11" s="473"/>
      <c r="C11" s="473"/>
      <c r="D11" s="473"/>
      <c r="E11" s="473"/>
      <c r="F11" s="474"/>
      <c r="G11" s="91"/>
    </row>
    <row r="12" spans="1:7" ht="16.5" customHeight="1" x14ac:dyDescent="0.3">
      <c r="A12" s="471" t="s">
        <v>31</v>
      </c>
      <c r="B12" s="471"/>
      <c r="C12" s="471"/>
      <c r="D12" s="471"/>
      <c r="E12" s="471"/>
      <c r="F12" s="471"/>
      <c r="G12" s="90"/>
    </row>
    <row r="14" spans="1:7" ht="16.5" customHeight="1" x14ac:dyDescent="0.3">
      <c r="A14" s="476" t="s">
        <v>32</v>
      </c>
      <c r="B14" s="476"/>
      <c r="C14" s="60" t="s">
        <v>5</v>
      </c>
    </row>
    <row r="15" spans="1:7" ht="16.5" customHeight="1" x14ac:dyDescent="0.3">
      <c r="A15" s="476" t="s">
        <v>33</v>
      </c>
      <c r="B15" s="476"/>
      <c r="C15" s="60" t="s">
        <v>7</v>
      </c>
    </row>
    <row r="16" spans="1:7" ht="16.5" customHeight="1" x14ac:dyDescent="0.3">
      <c r="A16" s="476" t="s">
        <v>34</v>
      </c>
      <c r="B16" s="476"/>
      <c r="C16" s="60" t="s">
        <v>9</v>
      </c>
    </row>
    <row r="17" spans="1:5" ht="16.5" customHeight="1" x14ac:dyDescent="0.3">
      <c r="A17" s="476" t="s">
        <v>35</v>
      </c>
      <c r="B17" s="476"/>
      <c r="C17" s="60" t="s">
        <v>9</v>
      </c>
    </row>
    <row r="18" spans="1:5" ht="16.5" customHeight="1" x14ac:dyDescent="0.3">
      <c r="A18" s="476" t="s">
        <v>36</v>
      </c>
      <c r="B18" s="476"/>
      <c r="C18" s="97" t="s">
        <v>11</v>
      </c>
    </row>
    <row r="19" spans="1:5" ht="16.5" customHeight="1" x14ac:dyDescent="0.3">
      <c r="A19" s="476" t="s">
        <v>37</v>
      </c>
      <c r="B19" s="47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1" t="s">
        <v>1</v>
      </c>
      <c r="B21" s="471"/>
      <c r="C21" s="59" t="s">
        <v>38</v>
      </c>
      <c r="D21" s="66"/>
    </row>
    <row r="22" spans="1:5" ht="15.75" customHeight="1" x14ac:dyDescent="0.3">
      <c r="A22" s="475"/>
      <c r="B22" s="475"/>
      <c r="C22" s="57"/>
      <c r="D22" s="475"/>
      <c r="E22" s="475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1145.8599999999999</v>
      </c>
      <c r="D24" s="87">
        <f t="shared" ref="D24:D43" si="0">(C24-$C$46)/$C$46</f>
        <v>-8.3757486228284144E-3</v>
      </c>
      <c r="E24" s="53"/>
    </row>
    <row r="25" spans="1:5" ht="15.75" customHeight="1" x14ac:dyDescent="0.3">
      <c r="C25" s="95">
        <v>1134.75</v>
      </c>
      <c r="D25" s="88">
        <f t="shared" si="0"/>
        <v>-1.7990313607032661E-2</v>
      </c>
      <c r="E25" s="53"/>
    </row>
    <row r="26" spans="1:5" ht="15.75" customHeight="1" x14ac:dyDescent="0.3">
      <c r="C26" s="95">
        <v>1169.23</v>
      </c>
      <c r="D26" s="88">
        <f t="shared" si="0"/>
        <v>1.184858834214516E-2</v>
      </c>
      <c r="E26" s="53"/>
    </row>
    <row r="27" spans="1:5" ht="15.75" customHeight="1" x14ac:dyDescent="0.3">
      <c r="C27" s="95">
        <v>1124.57</v>
      </c>
      <c r="D27" s="88">
        <f t="shared" si="0"/>
        <v>-2.6800059020102032E-2</v>
      </c>
      <c r="E27" s="53"/>
    </row>
    <row r="28" spans="1:5" ht="15.75" customHeight="1" x14ac:dyDescent="0.3">
      <c r="C28" s="95">
        <v>1178.3900000000001</v>
      </c>
      <c r="D28" s="88">
        <f t="shared" si="0"/>
        <v>1.977562841913098E-2</v>
      </c>
      <c r="E28" s="53"/>
    </row>
    <row r="29" spans="1:5" ht="15.75" customHeight="1" x14ac:dyDescent="0.3">
      <c r="C29" s="95">
        <v>1132.4000000000001</v>
      </c>
      <c r="D29" s="88">
        <f t="shared" si="0"/>
        <v>-2.0023997469578052E-2</v>
      </c>
      <c r="E29" s="53"/>
    </row>
    <row r="30" spans="1:5" ht="15.75" customHeight="1" x14ac:dyDescent="0.3">
      <c r="C30" s="95">
        <v>1165.22</v>
      </c>
      <c r="D30" s="88">
        <f t="shared" si="0"/>
        <v>8.3783448149931088E-3</v>
      </c>
      <c r="E30" s="53"/>
    </row>
    <row r="31" spans="1:5" ht="15.75" customHeight="1" x14ac:dyDescent="0.3">
      <c r="C31" s="95">
        <v>1145.95</v>
      </c>
      <c r="D31" s="88">
        <f t="shared" si="0"/>
        <v>-8.2978628578797391E-3</v>
      </c>
      <c r="E31" s="53"/>
    </row>
    <row r="32" spans="1:5" ht="15.75" customHeight="1" x14ac:dyDescent="0.3">
      <c r="C32" s="95">
        <v>1162.31</v>
      </c>
      <c r="D32" s="88">
        <f t="shared" si="0"/>
        <v>5.8600384149899223E-3</v>
      </c>
      <c r="E32" s="53"/>
    </row>
    <row r="33" spans="1:7" ht="15.75" customHeight="1" x14ac:dyDescent="0.3">
      <c r="C33" s="95">
        <v>1173</v>
      </c>
      <c r="D33" s="88">
        <f t="shared" si="0"/>
        <v>1.5111136496101069E-2</v>
      </c>
      <c r="E33" s="53"/>
    </row>
    <row r="34" spans="1:7" ht="15.75" customHeight="1" x14ac:dyDescent="0.3">
      <c r="C34" s="95">
        <v>1140.83</v>
      </c>
      <c r="D34" s="88">
        <f t="shared" si="0"/>
        <v>-1.2728697486064016E-2</v>
      </c>
      <c r="E34" s="53"/>
    </row>
    <row r="35" spans="1:7" ht="15.75" customHeight="1" x14ac:dyDescent="0.3">
      <c r="C35" s="95">
        <v>1176.51</v>
      </c>
      <c r="D35" s="88">
        <f t="shared" si="0"/>
        <v>1.8148681329094508E-2</v>
      </c>
      <c r="E35" s="53"/>
    </row>
    <row r="36" spans="1:7" ht="15.75" customHeight="1" x14ac:dyDescent="0.3">
      <c r="C36" s="95">
        <v>1136.32</v>
      </c>
      <c r="D36" s="88">
        <f t="shared" si="0"/>
        <v>-1.663163970737468E-2</v>
      </c>
      <c r="E36" s="53"/>
    </row>
    <row r="37" spans="1:7" ht="15.75" customHeight="1" x14ac:dyDescent="0.3">
      <c r="C37" s="95">
        <v>1151.04</v>
      </c>
      <c r="D37" s="88">
        <f t="shared" si="0"/>
        <v>-3.8929901513451511E-3</v>
      </c>
      <c r="E37" s="53"/>
    </row>
    <row r="38" spans="1:7" ht="15.75" customHeight="1" x14ac:dyDescent="0.3">
      <c r="C38" s="95">
        <v>1158.52</v>
      </c>
      <c r="D38" s="88">
        <f t="shared" si="0"/>
        <v>2.5801823132676834E-3</v>
      </c>
      <c r="E38" s="53"/>
    </row>
    <row r="39" spans="1:7" ht="15.75" customHeight="1" x14ac:dyDescent="0.3">
      <c r="C39" s="95">
        <v>1165.97</v>
      </c>
      <c r="D39" s="88">
        <f t="shared" si="0"/>
        <v>9.027392856231024E-3</v>
      </c>
      <c r="E39" s="53"/>
    </row>
    <row r="40" spans="1:7" ht="15.75" customHeight="1" x14ac:dyDescent="0.3">
      <c r="C40" s="95">
        <v>1189.0899999999999</v>
      </c>
      <c r="D40" s="88">
        <f t="shared" si="0"/>
        <v>2.9035380474125096E-2</v>
      </c>
      <c r="E40" s="53"/>
    </row>
    <row r="41" spans="1:7" ht="15.75" customHeight="1" x14ac:dyDescent="0.3">
      <c r="C41" s="95">
        <v>1162.93</v>
      </c>
      <c r="D41" s="88">
        <f t="shared" si="0"/>
        <v>6.3965847957467015E-3</v>
      </c>
      <c r="E41" s="53"/>
    </row>
    <row r="42" spans="1:7" ht="15.75" customHeight="1" x14ac:dyDescent="0.3">
      <c r="C42" s="95">
        <v>1168.0999999999999</v>
      </c>
      <c r="D42" s="88">
        <f t="shared" si="0"/>
        <v>1.0870689293346605E-2</v>
      </c>
      <c r="E42" s="53"/>
    </row>
    <row r="43" spans="1:7" ht="16.5" customHeight="1" x14ac:dyDescent="0.3">
      <c r="C43" s="96">
        <v>1129.78</v>
      </c>
      <c r="D43" s="89">
        <f t="shared" si="0"/>
        <v>-2.2291338626969276E-2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23110.77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1155.5385000000001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9">
        <f>C46</f>
        <v>1155.5385000000001</v>
      </c>
      <c r="C49" s="93">
        <f>-IF(C46&lt;=80,10%,IF(C46&lt;250,7.5%,5%))</f>
        <v>-0.05</v>
      </c>
      <c r="D49" s="81">
        <f>IF(C46&lt;=80,C46*0.9,IF(C46&lt;250,C46*0.925,C46*0.95))</f>
        <v>1097.761575</v>
      </c>
    </row>
    <row r="50" spans="1:6" ht="17.25" customHeight="1" x14ac:dyDescent="0.3">
      <c r="B50" s="470"/>
      <c r="C50" s="94">
        <f>IF(C46&lt;=80, 10%, IF(C46&lt;250, 7.5%, 5%))</f>
        <v>0.05</v>
      </c>
      <c r="D50" s="81">
        <f>IF(C46&lt;=80, C46*1.1, IF(C46&lt;250, C46*1.075, C46*1.05))</f>
        <v>1213.3154250000002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view="pageBreakPreview" topLeftCell="B100" zoomScale="60" zoomScaleNormal="60" workbookViewId="0">
      <selection activeCell="H115" sqref="H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44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32</v>
      </c>
      <c r="B18" s="508" t="s">
        <v>5</v>
      </c>
      <c r="C18" s="508"/>
      <c r="D18" s="280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3" t="s">
        <v>9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36</v>
      </c>
      <c r="B22" s="105" t="s">
        <v>125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">
        <v>45</v>
      </c>
      <c r="C26" s="508"/>
    </row>
    <row r="27" spans="1:14" ht="26.25" customHeight="1" x14ac:dyDescent="0.4">
      <c r="A27" s="109" t="s">
        <v>46</v>
      </c>
      <c r="B27" s="506" t="s">
        <v>126</v>
      </c>
      <c r="C27" s="506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47</v>
      </c>
      <c r="B29" s="111">
        <v>0</v>
      </c>
      <c r="C29" s="483" t="s">
        <v>48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486" t="s">
        <v>51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486" t="s">
        <v>53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50</v>
      </c>
      <c r="C36" s="99"/>
      <c r="D36" s="489" t="s">
        <v>57</v>
      </c>
      <c r="E36" s="507"/>
      <c r="F36" s="489" t="s">
        <v>58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10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20</v>
      </c>
      <c r="C38" s="131">
        <v>1</v>
      </c>
      <c r="D38" s="132">
        <v>125159327</v>
      </c>
      <c r="E38" s="133">
        <f>IF(ISBLANK(D38),"-",$D$48/$D$45*D38)</f>
        <v>121583761.35027091</v>
      </c>
      <c r="F38" s="315">
        <v>136444256</v>
      </c>
      <c r="G38" s="134">
        <f>IF(ISBLANK(F38),"-",$D$48/$F$45*F38)</f>
        <v>121727696.97136635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125240612</v>
      </c>
      <c r="E39" s="138">
        <f>IF(ISBLANK(D39),"-",$D$48/$D$45*D39)</f>
        <v>121662724.19130118</v>
      </c>
      <c r="F39" s="320">
        <v>136489507</v>
      </c>
      <c r="G39" s="139">
        <f>IF(ISBLANK(F39),"-",$D$48/$F$45*F39)</f>
        <v>121768067.30410978</v>
      </c>
      <c r="I39" s="491">
        <f>ABS((F43/D43*D42)-F42)/D42</f>
        <v>1.7446153299057975E-3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125048816</v>
      </c>
      <c r="E40" s="138">
        <f>IF(ISBLANK(D40),"-",$D$48/$D$45*D40)</f>
        <v>121476407.44087684</v>
      </c>
      <c r="F40" s="320">
        <v>136538184</v>
      </c>
      <c r="G40" s="139">
        <f>IF(ISBLANK(F40),"-",$D$48/$F$45*F40)</f>
        <v>121811494.11648858</v>
      </c>
      <c r="I40" s="491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125149585</v>
      </c>
      <c r="E42" s="148">
        <f>AVERAGE(E38:E41)</f>
        <v>121574297.66081631</v>
      </c>
      <c r="F42" s="147">
        <f>AVERAGE(F38:F41)</f>
        <v>136490649</v>
      </c>
      <c r="G42" s="149">
        <f>AVERAGE(G38:G41)</f>
        <v>121769086.13065489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16.54</v>
      </c>
      <c r="E43" s="140"/>
      <c r="F43" s="152">
        <v>18.010000000000002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16.54</v>
      </c>
      <c r="E44" s="155"/>
      <c r="F44" s="154">
        <f>F43*$B$34</f>
        <v>18.010000000000002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16.470531999999999</v>
      </c>
      <c r="E45" s="158"/>
      <c r="F45" s="157">
        <f>F44*$B$30/100</f>
        <v>17.934358000000003</v>
      </c>
      <c r="H45" s="150"/>
    </row>
    <row r="46" spans="1:14" ht="19.5" customHeight="1" x14ac:dyDescent="0.3">
      <c r="A46" s="477" t="s">
        <v>76</v>
      </c>
      <c r="B46" s="478"/>
      <c r="C46" s="153" t="s">
        <v>77</v>
      </c>
      <c r="D46" s="159">
        <f>D45/$B$45</f>
        <v>0.16470531999999999</v>
      </c>
      <c r="E46" s="160"/>
      <c r="F46" s="161">
        <f>F45/$B$45</f>
        <v>0.17934358000000003</v>
      </c>
      <c r="H46" s="150"/>
    </row>
    <row r="47" spans="1:14" ht="27" customHeight="1" x14ac:dyDescent="0.4">
      <c r="A47" s="479"/>
      <c r="B47" s="480"/>
      <c r="C47" s="162" t="s">
        <v>78</v>
      </c>
      <c r="D47" s="163">
        <v>0.16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16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121671691.89573561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1.0259906964363058E-3</v>
      </c>
      <c r="F51" s="170"/>
      <c r="H51" s="150"/>
    </row>
    <row r="52" spans="1:12" ht="19.5" customHeight="1" x14ac:dyDescent="0.3">
      <c r="C52" s="172" t="s">
        <v>19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Sulphamethoxazole 800 mg, Trimethoprim 160 mg</v>
      </c>
    </row>
    <row r="56" spans="1:12" ht="26.25" customHeight="1" x14ac:dyDescent="0.4">
      <c r="A56" s="177" t="s">
        <v>85</v>
      </c>
      <c r="B56" s="178">
        <v>800</v>
      </c>
      <c r="C56" s="99" t="str">
        <f>B20</f>
        <v>Sulphamethoxazole 800 mg, Trimethoprim 160 mg</v>
      </c>
      <c r="H56" s="179"/>
    </row>
    <row r="57" spans="1:12" ht="18.75" x14ac:dyDescent="0.3">
      <c r="A57" s="176" t="s">
        <v>86</v>
      </c>
      <c r="B57" s="180">
        <f>Uniformity!C46</f>
        <v>1155.5385000000001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494" t="s">
        <v>92</v>
      </c>
      <c r="D60" s="497">
        <v>577.89</v>
      </c>
      <c r="E60" s="183">
        <v>1</v>
      </c>
      <c r="F60" s="184">
        <v>119535455</v>
      </c>
      <c r="G60" s="185">
        <f>IF(ISBLANK(F60),"-",(F60/$D$50*$D$47*$B$68)*($B$57/$D$60))</f>
        <v>785.78986601406746</v>
      </c>
      <c r="H60" s="186">
        <f t="shared" ref="H60:H71" si="0">IF(ISBLANK(F60),"-",G60/$B$56)</f>
        <v>0.98223733251758427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495"/>
      <c r="D61" s="498"/>
      <c r="E61" s="187">
        <v>2</v>
      </c>
      <c r="F61" s="137">
        <v>119747922</v>
      </c>
      <c r="G61" s="188">
        <f>IF(ISBLANK(F61),"-",(F61/$D$50*$D$47*$B$68)*($B$57/$D$60))</f>
        <v>787.18655970183079</v>
      </c>
      <c r="H61" s="189">
        <f t="shared" si="0"/>
        <v>0.98398319962728853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495"/>
      <c r="D62" s="498"/>
      <c r="E62" s="187">
        <v>3</v>
      </c>
      <c r="F62" s="190">
        <v>119665400</v>
      </c>
      <c r="G62" s="188">
        <f>IF(ISBLANK(F62),"-",(F62/$D$50*$D$47*$B$68)*($B$57/$D$60))</f>
        <v>786.64408507517533</v>
      </c>
      <c r="H62" s="189">
        <f t="shared" si="0"/>
        <v>0.98330510634396917</v>
      </c>
      <c r="L62" s="112"/>
    </row>
    <row r="63" spans="1:12" ht="27" customHeight="1" x14ac:dyDescent="0.4">
      <c r="A63" s="124" t="s">
        <v>95</v>
      </c>
      <c r="B63" s="125">
        <v>1</v>
      </c>
      <c r="C63" s="505"/>
      <c r="D63" s="499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494" t="s">
        <v>97</v>
      </c>
      <c r="D64" s="497">
        <v>576.25</v>
      </c>
      <c r="E64" s="183">
        <v>1</v>
      </c>
      <c r="F64" s="184">
        <v>118733863</v>
      </c>
      <c r="G64" s="193">
        <f>IF(ISBLANK(F64),"-",(F64/$D$50*$D$47*$B$68)*($B$57/$D$64))</f>
        <v>782.74179408337113</v>
      </c>
      <c r="H64" s="194">
        <f t="shared" si="0"/>
        <v>0.97842724260421388</v>
      </c>
    </row>
    <row r="65" spans="1:8" ht="26.25" customHeight="1" x14ac:dyDescent="0.4">
      <c r="A65" s="124" t="s">
        <v>98</v>
      </c>
      <c r="B65" s="125">
        <v>1</v>
      </c>
      <c r="C65" s="495"/>
      <c r="D65" s="498"/>
      <c r="E65" s="187">
        <v>2</v>
      </c>
      <c r="F65" s="137">
        <v>118783195</v>
      </c>
      <c r="G65" s="195">
        <f>IF(ISBLANK(F65),"-",(F65/$D$50*$D$47*$B$68)*($B$57/$D$64))</f>
        <v>783.06701064088941</v>
      </c>
      <c r="H65" s="196">
        <f t="shared" si="0"/>
        <v>0.97883376330111171</v>
      </c>
    </row>
    <row r="66" spans="1:8" ht="26.25" customHeight="1" x14ac:dyDescent="0.4">
      <c r="A66" s="124" t="s">
        <v>99</v>
      </c>
      <c r="B66" s="125">
        <v>1</v>
      </c>
      <c r="C66" s="495"/>
      <c r="D66" s="498"/>
      <c r="E66" s="187">
        <v>3</v>
      </c>
      <c r="F66" s="137">
        <v>118539556</v>
      </c>
      <c r="G66" s="195">
        <f>IF(ISBLANK(F66),"-",(F66/$D$50*$D$47*$B$68)*($B$57/$D$64))</f>
        <v>781.46084351088814</v>
      </c>
      <c r="H66" s="196">
        <f t="shared" si="0"/>
        <v>0.97682605438861014</v>
      </c>
    </row>
    <row r="67" spans="1:8" ht="27" customHeight="1" x14ac:dyDescent="0.4">
      <c r="A67" s="124" t="s">
        <v>100</v>
      </c>
      <c r="B67" s="125">
        <v>1</v>
      </c>
      <c r="C67" s="505"/>
      <c r="D67" s="499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101</v>
      </c>
      <c r="B68" s="199">
        <f>(B67/B66)*(B65/B64)*(B63/B62)*(B61/B60)*B59</f>
        <v>2500</v>
      </c>
      <c r="C68" s="494" t="s">
        <v>102</v>
      </c>
      <c r="D68" s="497">
        <v>578.72</v>
      </c>
      <c r="E68" s="183">
        <v>1</v>
      </c>
      <c r="F68" s="184">
        <v>118580424</v>
      </c>
      <c r="G68" s="193">
        <f>IF(ISBLANK(F68),"-",(F68/$D$50*$D$47*$B$68)*($B$57/$D$68))</f>
        <v>778.39380606641055</v>
      </c>
      <c r="H68" s="189">
        <f t="shared" si="0"/>
        <v>0.97299225758301322</v>
      </c>
    </row>
    <row r="69" spans="1:8" ht="27" customHeight="1" x14ac:dyDescent="0.4">
      <c r="A69" s="172" t="s">
        <v>103</v>
      </c>
      <c r="B69" s="200">
        <f>(D47*B68)/B56*B57</f>
        <v>577.76925000000006</v>
      </c>
      <c r="C69" s="495"/>
      <c r="D69" s="498"/>
      <c r="E69" s="187">
        <v>2</v>
      </c>
      <c r="F69" s="137">
        <v>118722324</v>
      </c>
      <c r="G69" s="195">
        <f>IF(ISBLANK(F69),"-",(F69/$D$50*$D$47*$B$68)*($B$57/$D$68))</f>
        <v>779.32527584324998</v>
      </c>
      <c r="H69" s="189">
        <f t="shared" si="0"/>
        <v>0.97415659480406247</v>
      </c>
    </row>
    <row r="70" spans="1:8" ht="26.25" customHeight="1" x14ac:dyDescent="0.4">
      <c r="A70" s="500" t="s">
        <v>76</v>
      </c>
      <c r="B70" s="501"/>
      <c r="C70" s="495"/>
      <c r="D70" s="498"/>
      <c r="E70" s="187">
        <v>3</v>
      </c>
      <c r="F70" s="137">
        <v>118507097</v>
      </c>
      <c r="G70" s="195">
        <f>IF(ISBLANK(F70),"-",(F70/$D$50*$D$47*$B$68)*($B$57/$D$68))</f>
        <v>777.91246791048161</v>
      </c>
      <c r="H70" s="189">
        <f t="shared" si="0"/>
        <v>0.97239058488810204</v>
      </c>
    </row>
    <row r="71" spans="1:8" ht="27" customHeight="1" x14ac:dyDescent="0.4">
      <c r="A71" s="502"/>
      <c r="B71" s="503"/>
      <c r="C71" s="496"/>
      <c r="D71" s="499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0.97812801511755054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4.5047878130462229E-3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19</v>
      </c>
      <c r="H74" s="210">
        <f>COUNT(H60:H71)</f>
        <v>9</v>
      </c>
    </row>
    <row r="76" spans="1:8" ht="26.25" customHeight="1" x14ac:dyDescent="0.4">
      <c r="A76" s="108" t="s">
        <v>104</v>
      </c>
      <c r="B76" s="211" t="s">
        <v>105</v>
      </c>
      <c r="C76" s="481" t="str">
        <f>B20</f>
        <v>Sulphamethoxazole 800 mg, Trimethoprim 160 mg</v>
      </c>
      <c r="D76" s="481"/>
      <c r="E76" s="212" t="s">
        <v>106</v>
      </c>
      <c r="F76" s="212"/>
      <c r="G76" s="213">
        <f>H72</f>
        <v>0.97812801511755054</v>
      </c>
      <c r="H76" s="214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tr">
        <f>B26</f>
        <v>Sulfamethoxazole</v>
      </c>
      <c r="C79" s="504"/>
    </row>
    <row r="80" spans="1:8" ht="26.25" customHeight="1" x14ac:dyDescent="0.4">
      <c r="A80" s="109" t="s">
        <v>46</v>
      </c>
      <c r="B80" s="504" t="str">
        <f>B27</f>
        <v>NQCL-PRS-S12-2</v>
      </c>
      <c r="C80" s="504"/>
    </row>
    <row r="81" spans="1:12" ht="27" customHeight="1" x14ac:dyDescent="0.4">
      <c r="A81" s="109" t="s">
        <v>6</v>
      </c>
      <c r="B81" s="215">
        <f>B28</f>
        <v>99.58</v>
      </c>
    </row>
    <row r="82" spans="1:12" s="14" customFormat="1" ht="27" customHeight="1" x14ac:dyDescent="0.4">
      <c r="A82" s="109" t="s">
        <v>47</v>
      </c>
      <c r="B82" s="111">
        <v>0</v>
      </c>
      <c r="C82" s="483" t="s">
        <v>48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486" t="s">
        <v>109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486" t="s">
        <v>110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25</v>
      </c>
      <c r="D89" s="216" t="s">
        <v>57</v>
      </c>
      <c r="E89" s="217"/>
      <c r="F89" s="489" t="s">
        <v>58</v>
      </c>
      <c r="G89" s="490"/>
    </row>
    <row r="90" spans="1:12" ht="27" customHeight="1" x14ac:dyDescent="0.4">
      <c r="A90" s="124" t="s">
        <v>59</v>
      </c>
      <c r="B90" s="125">
        <v>15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50</v>
      </c>
      <c r="C91" s="220">
        <v>1</v>
      </c>
      <c r="D91" s="315">
        <v>167705540</v>
      </c>
      <c r="E91" s="133">
        <f>IF(ISBLANK(D91),"-",$D$101/$D$98*D91)</f>
        <v>164465697.33505726</v>
      </c>
      <c r="F91" s="315">
        <v>187178916</v>
      </c>
      <c r="G91" s="134">
        <f>IF(ISBLANK(F91),"-",$D$101/$F$98*F91)</f>
        <v>164021276.79710281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320">
        <v>168044501</v>
      </c>
      <c r="E92" s="138">
        <f>IF(ISBLANK(D92),"-",$D$101/$D$98*D92)</f>
        <v>164798110.07010695</v>
      </c>
      <c r="F92" s="320">
        <v>187941669</v>
      </c>
      <c r="G92" s="139">
        <f>IF(ISBLANK(F92),"-",$D$101/$F$98*F92)</f>
        <v>164689662.55130187</v>
      </c>
      <c r="I92" s="491">
        <f>ABS((F96/D96*D95)-F95)/D95</f>
        <v>4.5012059233545025E-4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320">
        <v>167911219</v>
      </c>
      <c r="E93" s="138">
        <f>IF(ISBLANK(D93),"-",$D$101/$D$98*D93)</f>
        <v>164667402.89685431</v>
      </c>
      <c r="F93" s="320">
        <v>188320484</v>
      </c>
      <c r="G93" s="139">
        <f>IF(ISBLANK(F93),"-",$D$101/$F$98*F93)</f>
        <v>165021610.83531636</v>
      </c>
      <c r="I93" s="491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167887086.66666666</v>
      </c>
      <c r="E95" s="148">
        <f>AVERAGE(E91:E94)</f>
        <v>164643736.7673395</v>
      </c>
      <c r="F95" s="225">
        <f>AVERAGE(F91:F94)</f>
        <v>187813689.66666666</v>
      </c>
      <c r="G95" s="226">
        <f>AVERAGE(G91:G94)</f>
        <v>164577516.727907</v>
      </c>
    </row>
    <row r="96" spans="1:12" ht="26.25" customHeight="1" x14ac:dyDescent="0.4">
      <c r="A96" s="124" t="s">
        <v>70</v>
      </c>
      <c r="B96" s="110">
        <v>1</v>
      </c>
      <c r="C96" s="227" t="s">
        <v>111</v>
      </c>
      <c r="D96" s="228">
        <v>15.36</v>
      </c>
      <c r="E96" s="140"/>
      <c r="F96" s="152">
        <v>17.190000000000001</v>
      </c>
    </row>
    <row r="97" spans="1:10" ht="26.25" customHeight="1" x14ac:dyDescent="0.4">
      <c r="A97" s="124" t="s">
        <v>72</v>
      </c>
      <c r="B97" s="110">
        <v>1</v>
      </c>
      <c r="C97" s="229" t="s">
        <v>112</v>
      </c>
      <c r="D97" s="230">
        <f>D96*$B$87</f>
        <v>15.36</v>
      </c>
      <c r="E97" s="155"/>
      <c r="F97" s="154">
        <f>F96*$B$87</f>
        <v>17.190000000000001</v>
      </c>
    </row>
    <row r="98" spans="1:10" ht="19.5" customHeight="1" x14ac:dyDescent="0.3">
      <c r="A98" s="124" t="s">
        <v>74</v>
      </c>
      <c r="B98" s="231">
        <f>(B97/B96)*(B95/B94)*(B93/B92)*(B91/B90)*B89</f>
        <v>83.333333333333343</v>
      </c>
      <c r="C98" s="229" t="s">
        <v>113</v>
      </c>
      <c r="D98" s="232">
        <f>D97*$B$83/100</f>
        <v>15.295488000000001</v>
      </c>
      <c r="E98" s="158"/>
      <c r="F98" s="157">
        <f>F97*$B$83/100</f>
        <v>17.117802000000001</v>
      </c>
    </row>
    <row r="99" spans="1:10" ht="19.5" customHeight="1" x14ac:dyDescent="0.3">
      <c r="A99" s="477" t="s">
        <v>76</v>
      </c>
      <c r="B99" s="492"/>
      <c r="C99" s="229" t="s">
        <v>114</v>
      </c>
      <c r="D99" s="233">
        <f>D98/$B$98</f>
        <v>0.18354585599999998</v>
      </c>
      <c r="E99" s="158"/>
      <c r="F99" s="161">
        <f>F98/$B$98</f>
        <v>0.20541362399999999</v>
      </c>
      <c r="G99" s="234"/>
      <c r="H99" s="150"/>
    </row>
    <row r="100" spans="1:10" ht="19.5" customHeight="1" x14ac:dyDescent="0.3">
      <c r="A100" s="479"/>
      <c r="B100" s="493"/>
      <c r="C100" s="229" t="s">
        <v>78</v>
      </c>
      <c r="D100" s="235">
        <v>0.18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15.000000000000002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15.000000000000002</v>
      </c>
      <c r="F102" s="170"/>
      <c r="G102" s="234"/>
      <c r="H102" s="150"/>
      <c r="J102" s="239"/>
    </row>
    <row r="103" spans="1:10" ht="18.75" x14ac:dyDescent="0.3">
      <c r="C103" s="240" t="s">
        <v>115</v>
      </c>
      <c r="D103" s="241">
        <f>AVERAGE(E91:E94,G91:G94)</f>
        <v>164610626.74762323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2.0723763219701982E-3</v>
      </c>
      <c r="F104" s="170"/>
      <c r="G104" s="234"/>
      <c r="H104" s="150"/>
      <c r="J104" s="243"/>
    </row>
    <row r="105" spans="1:10" ht="19.5" customHeight="1" x14ac:dyDescent="0.3">
      <c r="C105" s="209" t="s">
        <v>19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46" t="s">
        <v>117</v>
      </c>
      <c r="D107" s="247" t="s">
        <v>61</v>
      </c>
      <c r="E107" s="248" t="s">
        <v>118</v>
      </c>
      <c r="F107" s="249" t="s">
        <v>119</v>
      </c>
    </row>
    <row r="108" spans="1:10" ht="26.25" customHeight="1" x14ac:dyDescent="0.4">
      <c r="A108" s="124" t="s">
        <v>120</v>
      </c>
      <c r="B108" s="125">
        <v>5</v>
      </c>
      <c r="C108" s="250">
        <v>1</v>
      </c>
      <c r="D108" s="251">
        <v>163593939</v>
      </c>
      <c r="E108" s="252">
        <f>IF(ISBLANK(D108),"-",D108/$D$103*$D$100*$B$116)</f>
        <v>643.99774526422311</v>
      </c>
      <c r="F108" s="253">
        <f t="shared" ref="F108:F113" si="1">IF(ISBLANK(D108), "-", E108/$B$56)</f>
        <v>0.80499718158027889</v>
      </c>
    </row>
    <row r="109" spans="1:10" ht="26.25" customHeight="1" x14ac:dyDescent="0.4">
      <c r="A109" s="124" t="s">
        <v>93</v>
      </c>
      <c r="B109" s="125">
        <v>20</v>
      </c>
      <c r="C109" s="250">
        <v>2</v>
      </c>
      <c r="D109" s="251">
        <v>168350672</v>
      </c>
      <c r="E109" s="254">
        <f t="shared" ref="E108:E113" si="2">IF(ISBLANK(D109),"-",D109/$D$103*$D$100*$B$116)</f>
        <v>662.72292142630533</v>
      </c>
      <c r="F109" s="255">
        <f>IF(ISBLANK(D109), "-", E109/$B$56)</f>
        <v>0.82840365178288167</v>
      </c>
    </row>
    <row r="110" spans="1:10" ht="26.25" customHeight="1" x14ac:dyDescent="0.4">
      <c r="A110" s="124" t="s">
        <v>94</v>
      </c>
      <c r="B110" s="125">
        <v>1</v>
      </c>
      <c r="C110" s="250">
        <v>3</v>
      </c>
      <c r="D110" s="251">
        <v>169768780</v>
      </c>
      <c r="E110" s="254">
        <f t="shared" si="2"/>
        <v>668.30539202468833</v>
      </c>
      <c r="F110" s="255">
        <f>IF(ISBLANK(D110), "-", E110/$B$56)</f>
        <v>0.83538174003086041</v>
      </c>
    </row>
    <row r="111" spans="1:10" ht="26.25" customHeight="1" x14ac:dyDescent="0.4">
      <c r="A111" s="124" t="s">
        <v>95</v>
      </c>
      <c r="B111" s="125">
        <v>1</v>
      </c>
      <c r="C111" s="250">
        <v>4</v>
      </c>
      <c r="D111" s="251">
        <v>168503917</v>
      </c>
      <c r="E111" s="254">
        <f t="shared" si="2"/>
        <v>663.32617992766723</v>
      </c>
      <c r="F111" s="255">
        <f t="shared" si="1"/>
        <v>0.82915772490958406</v>
      </c>
    </row>
    <row r="112" spans="1:10" ht="26.25" customHeight="1" x14ac:dyDescent="0.4">
      <c r="A112" s="124" t="s">
        <v>96</v>
      </c>
      <c r="B112" s="125">
        <v>1</v>
      </c>
      <c r="C112" s="250">
        <v>5</v>
      </c>
      <c r="D112" s="251">
        <v>169455722</v>
      </c>
      <c r="E112" s="254">
        <f t="shared" si="2"/>
        <v>667.07301968027696</v>
      </c>
      <c r="F112" s="255">
        <f>IF(ISBLANK(D112), "-", E112/$B$56)</f>
        <v>0.83384127460034618</v>
      </c>
    </row>
    <row r="113" spans="1:10" ht="26.25" customHeight="1" x14ac:dyDescent="0.4">
      <c r="A113" s="124" t="s">
        <v>98</v>
      </c>
      <c r="B113" s="125">
        <v>1</v>
      </c>
      <c r="C113" s="256">
        <v>6</v>
      </c>
      <c r="D113" s="257">
        <v>163651238</v>
      </c>
      <c r="E113" s="258">
        <f t="shared" si="2"/>
        <v>644.22330635182493</v>
      </c>
      <c r="F113" s="259">
        <f t="shared" si="1"/>
        <v>0.80527913293978115</v>
      </c>
    </row>
    <row r="114" spans="1:10" ht="26.25" customHeight="1" x14ac:dyDescent="0.4">
      <c r="A114" s="124" t="s">
        <v>99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100</v>
      </c>
      <c r="B115" s="125">
        <v>1</v>
      </c>
      <c r="C115" s="250"/>
      <c r="D115" s="261"/>
      <c r="E115" s="262" t="s">
        <v>69</v>
      </c>
      <c r="F115" s="263">
        <f>AVERAGE(F108:F113)</f>
        <v>0.82284345097395561</v>
      </c>
    </row>
    <row r="116" spans="1:10" ht="27" customHeight="1" x14ac:dyDescent="0.4">
      <c r="A116" s="124" t="s">
        <v>101</v>
      </c>
      <c r="B116" s="156">
        <f>(B115/B114)*(B113/B112)*(B111/B110)*(B109/B108)*B107</f>
        <v>3600</v>
      </c>
      <c r="C116" s="264"/>
      <c r="D116" s="265"/>
      <c r="E116" s="223" t="s">
        <v>82</v>
      </c>
      <c r="F116" s="266">
        <f>STDEV(F108:F113)/F115</f>
        <v>1.6978903123770574E-2</v>
      </c>
      <c r="I116" s="98"/>
    </row>
    <row r="117" spans="1:10" ht="27" customHeight="1" x14ac:dyDescent="0.4">
      <c r="A117" s="477" t="s">
        <v>76</v>
      </c>
      <c r="B117" s="478"/>
      <c r="C117" s="267"/>
      <c r="D117" s="268"/>
      <c r="E117" s="269" t="s">
        <v>19</v>
      </c>
      <c r="F117" s="270">
        <f>COUNT(F108:F113)</f>
        <v>6</v>
      </c>
      <c r="I117" s="98"/>
      <c r="J117" s="243"/>
    </row>
    <row r="118" spans="1:10" ht="19.5" customHeight="1" x14ac:dyDescent="0.3">
      <c r="A118" s="479"/>
      <c r="B118" s="480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11" t="s">
        <v>121</v>
      </c>
      <c r="C120" s="481" t="str">
        <f>B20</f>
        <v>Sulphamethoxazole 800 mg, Trimethoprim 160 mg</v>
      </c>
      <c r="D120" s="481"/>
      <c r="E120" s="212" t="s">
        <v>122</v>
      </c>
      <c r="F120" s="212"/>
      <c r="G120" s="213">
        <f>F115</f>
        <v>0.82284345097395561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482" t="s">
        <v>25</v>
      </c>
      <c r="C122" s="482"/>
      <c r="E122" s="218" t="s">
        <v>26</v>
      </c>
      <c r="F122" s="273"/>
      <c r="G122" s="482" t="s">
        <v>27</v>
      </c>
      <c r="H122" s="482"/>
    </row>
    <row r="123" spans="1:10" ht="18.75" x14ac:dyDescent="0.3">
      <c r="A123" s="274" t="s">
        <v>28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29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5" orientation="portrait" r:id="rId1"/>
  <colBreaks count="1" manualBreakCount="1">
    <brk id="12" max="12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B1" zoomScale="60" zoomScaleNormal="60" workbookViewId="0">
      <selection activeCell="D117" sqref="D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509" t="s">
        <v>30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44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3" t="s">
        <v>32</v>
      </c>
      <c r="B18" s="508" t="s">
        <v>5</v>
      </c>
      <c r="C18" s="508"/>
      <c r="D18" s="463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3" t="s">
        <v>9</v>
      </c>
      <c r="C20" s="513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3" t="s">
        <v>9</v>
      </c>
      <c r="C21" s="513"/>
      <c r="D21" s="513"/>
      <c r="E21" s="513"/>
      <c r="F21" s="513"/>
      <c r="G21" s="513"/>
      <c r="H21" s="513"/>
      <c r="I21" s="287"/>
    </row>
    <row r="22" spans="1:14" ht="26.25" customHeight="1" x14ac:dyDescent="0.4">
      <c r="A22" s="283" t="s">
        <v>36</v>
      </c>
      <c r="B22" s="288" t="s">
        <v>125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8" t="s">
        <v>123</v>
      </c>
      <c r="C26" s="508"/>
    </row>
    <row r="27" spans="1:14" ht="26.25" customHeight="1" x14ac:dyDescent="0.4">
      <c r="A27" s="292" t="s">
        <v>46</v>
      </c>
      <c r="B27" s="506" t="s">
        <v>124</v>
      </c>
      <c r="C27" s="506"/>
    </row>
    <row r="28" spans="1:14" ht="27" customHeight="1" x14ac:dyDescent="0.4">
      <c r="A28" s="292" t="s">
        <v>6</v>
      </c>
      <c r="B28" s="293">
        <v>99.66</v>
      </c>
    </row>
    <row r="29" spans="1:14" s="14" customFormat="1" ht="27" customHeight="1" x14ac:dyDescent="0.4">
      <c r="A29" s="292" t="s">
        <v>47</v>
      </c>
      <c r="B29" s="294">
        <v>0</v>
      </c>
      <c r="C29" s="483" t="s">
        <v>48</v>
      </c>
      <c r="D29" s="484"/>
      <c r="E29" s="484"/>
      <c r="F29" s="484"/>
      <c r="G29" s="485"/>
      <c r="I29" s="295"/>
      <c r="J29" s="295"/>
      <c r="K29" s="295"/>
      <c r="L29" s="295"/>
    </row>
    <row r="30" spans="1:14" s="14" customFormat="1" ht="19.5" customHeight="1" x14ac:dyDescent="0.3">
      <c r="A30" s="292" t="s">
        <v>49</v>
      </c>
      <c r="B30" s="296">
        <f>B28-B29</f>
        <v>99.66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50</v>
      </c>
      <c r="B31" s="299">
        <v>1</v>
      </c>
      <c r="C31" s="486" t="s">
        <v>51</v>
      </c>
      <c r="D31" s="487"/>
      <c r="E31" s="487"/>
      <c r="F31" s="487"/>
      <c r="G31" s="487"/>
      <c r="H31" s="488"/>
      <c r="I31" s="295"/>
      <c r="J31" s="295"/>
      <c r="K31" s="295"/>
      <c r="L31" s="295"/>
    </row>
    <row r="32" spans="1:14" s="14" customFormat="1" ht="27" customHeight="1" x14ac:dyDescent="0.4">
      <c r="A32" s="292" t="s">
        <v>52</v>
      </c>
      <c r="B32" s="299">
        <v>1</v>
      </c>
      <c r="C32" s="486" t="s">
        <v>53</v>
      </c>
      <c r="D32" s="487"/>
      <c r="E32" s="487"/>
      <c r="F32" s="487"/>
      <c r="G32" s="487"/>
      <c r="H32" s="488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56</v>
      </c>
      <c r="B36" s="306">
        <v>50</v>
      </c>
      <c r="C36" s="282"/>
      <c r="D36" s="489" t="s">
        <v>57</v>
      </c>
      <c r="E36" s="507"/>
      <c r="F36" s="489" t="s">
        <v>58</v>
      </c>
      <c r="G36" s="490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59</v>
      </c>
      <c r="B37" s="308">
        <v>2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64</v>
      </c>
      <c r="B38" s="308">
        <v>20</v>
      </c>
      <c r="C38" s="314">
        <v>1</v>
      </c>
      <c r="D38" s="315">
        <v>10164667</v>
      </c>
      <c r="E38" s="316">
        <f>IF(ISBLANK(D38),"-",$D$48/$D$45*D38)</f>
        <v>9374397.7685896754</v>
      </c>
      <c r="F38" s="315">
        <v>9493275</v>
      </c>
      <c r="G38" s="317">
        <f>IF(ISBLANK(F38),"-",$D$48/$F$45*F38)</f>
        <v>9302404.5426324513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65</v>
      </c>
      <c r="B39" s="308">
        <v>1</v>
      </c>
      <c r="C39" s="319">
        <v>2</v>
      </c>
      <c r="D39" s="320">
        <v>10178037</v>
      </c>
      <c r="E39" s="321">
        <f>IF(ISBLANK(D39),"-",$D$48/$D$45*D39)</f>
        <v>9386728.2953217402</v>
      </c>
      <c r="F39" s="320">
        <v>9512842</v>
      </c>
      <c r="G39" s="322">
        <f>IF(ISBLANK(F39),"-",$D$48/$F$45*F39)</f>
        <v>9321578.1312713232</v>
      </c>
      <c r="I39" s="491">
        <f>ABS((F43/D43*D42)-F42)/D42</f>
        <v>6.6695056026253169E-3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66</v>
      </c>
      <c r="B40" s="308">
        <v>1</v>
      </c>
      <c r="C40" s="319">
        <v>3</v>
      </c>
      <c r="D40" s="320">
        <v>10162097</v>
      </c>
      <c r="E40" s="321">
        <f>IF(ISBLANK(D40),"-",$D$48/$D$45*D40)</f>
        <v>9372027.5775873251</v>
      </c>
      <c r="F40" s="320">
        <v>9500832</v>
      </c>
      <c r="G40" s="322">
        <f>IF(ISBLANK(F40),"-",$D$48/$F$45*F40)</f>
        <v>9309809.602649007</v>
      </c>
      <c r="I40" s="491"/>
      <c r="L40" s="300"/>
      <c r="M40" s="300"/>
      <c r="N40" s="323"/>
    </row>
    <row r="41" spans="1:14" ht="27" customHeight="1" x14ac:dyDescent="0.4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68</v>
      </c>
      <c r="B42" s="308">
        <v>1</v>
      </c>
      <c r="C42" s="329" t="s">
        <v>69</v>
      </c>
      <c r="D42" s="330">
        <f>AVERAGE(D38:D41)</f>
        <v>10168267</v>
      </c>
      <c r="E42" s="331">
        <f>AVERAGE(E38:E41)</f>
        <v>9377717.8804995809</v>
      </c>
      <c r="F42" s="330">
        <f>AVERAGE(F38:F41)</f>
        <v>9502316.333333334</v>
      </c>
      <c r="G42" s="332">
        <f>AVERAGE(G38:G41)</f>
        <v>9311264.0921842605</v>
      </c>
      <c r="H42" s="333"/>
    </row>
    <row r="43" spans="1:14" ht="26.25" customHeight="1" x14ac:dyDescent="0.4">
      <c r="A43" s="307" t="s">
        <v>70</v>
      </c>
      <c r="B43" s="308">
        <v>1</v>
      </c>
      <c r="C43" s="334" t="s">
        <v>71</v>
      </c>
      <c r="D43" s="335">
        <v>16.32</v>
      </c>
      <c r="E43" s="323"/>
      <c r="F43" s="335">
        <v>15.36</v>
      </c>
      <c r="H43" s="333"/>
    </row>
    <row r="44" spans="1:14" ht="26.25" customHeight="1" x14ac:dyDescent="0.4">
      <c r="A44" s="307" t="s">
        <v>72</v>
      </c>
      <c r="B44" s="308">
        <v>1</v>
      </c>
      <c r="C44" s="336" t="s">
        <v>73</v>
      </c>
      <c r="D44" s="337">
        <f>D43*$B$34</f>
        <v>16.32</v>
      </c>
      <c r="E44" s="338"/>
      <c r="F44" s="337">
        <f>F43*$B$34</f>
        <v>15.36</v>
      </c>
      <c r="H44" s="333"/>
    </row>
    <row r="45" spans="1:14" ht="19.5" customHeight="1" x14ac:dyDescent="0.3">
      <c r="A45" s="307" t="s">
        <v>74</v>
      </c>
      <c r="B45" s="339">
        <f>(B44/B43)*(B42/B41)*(B40/B39)*(B38/B37)*B36</f>
        <v>500</v>
      </c>
      <c r="C45" s="336" t="s">
        <v>75</v>
      </c>
      <c r="D45" s="340">
        <f>D44*$B$30/100</f>
        <v>16.264512</v>
      </c>
      <c r="E45" s="341"/>
      <c r="F45" s="340">
        <f>F44*$B$30/100</f>
        <v>15.307775999999999</v>
      </c>
      <c r="H45" s="333"/>
    </row>
    <row r="46" spans="1:14" ht="19.5" customHeight="1" x14ac:dyDescent="0.3">
      <c r="A46" s="477" t="s">
        <v>76</v>
      </c>
      <c r="B46" s="478"/>
      <c r="C46" s="336" t="s">
        <v>77</v>
      </c>
      <c r="D46" s="342">
        <f>D45/$B$45</f>
        <v>3.2529023999999997E-2</v>
      </c>
      <c r="E46" s="343"/>
      <c r="F46" s="344">
        <f>F45/$B$45</f>
        <v>3.0615551999999997E-2</v>
      </c>
      <c r="H46" s="333"/>
    </row>
    <row r="47" spans="1:14" ht="27" customHeight="1" x14ac:dyDescent="0.4">
      <c r="A47" s="479"/>
      <c r="B47" s="480"/>
      <c r="C47" s="345" t="s">
        <v>78</v>
      </c>
      <c r="D47" s="346">
        <v>0.03</v>
      </c>
      <c r="E47" s="347"/>
      <c r="F47" s="343"/>
      <c r="H47" s="333"/>
    </row>
    <row r="48" spans="1:14" ht="18.75" x14ac:dyDescent="0.3">
      <c r="C48" s="348" t="s">
        <v>79</v>
      </c>
      <c r="D48" s="340">
        <f>D47*$B$45</f>
        <v>15</v>
      </c>
      <c r="F48" s="349"/>
      <c r="H48" s="333"/>
    </row>
    <row r="49" spans="1:12" ht="19.5" customHeight="1" x14ac:dyDescent="0.3">
      <c r="C49" s="350" t="s">
        <v>80</v>
      </c>
      <c r="D49" s="351">
        <f>D48/B34</f>
        <v>15</v>
      </c>
      <c r="F49" s="349"/>
      <c r="H49" s="333"/>
    </row>
    <row r="50" spans="1:12" ht="18.75" x14ac:dyDescent="0.3">
      <c r="C50" s="305" t="s">
        <v>81</v>
      </c>
      <c r="D50" s="352">
        <f>AVERAGE(E38:E41,G38:G41)</f>
        <v>9344490.9863419216</v>
      </c>
      <c r="F50" s="353"/>
      <c r="H50" s="333"/>
    </row>
    <row r="51" spans="1:12" ht="18.75" x14ac:dyDescent="0.3">
      <c r="C51" s="307" t="s">
        <v>82</v>
      </c>
      <c r="D51" s="354">
        <f>STDEV(E38:E41,G38:G41)/D50</f>
        <v>3.9857092910280077E-3</v>
      </c>
      <c r="F51" s="353"/>
      <c r="H51" s="333"/>
    </row>
    <row r="52" spans="1:12" ht="19.5" customHeight="1" x14ac:dyDescent="0.3">
      <c r="C52" s="355" t="s">
        <v>19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83</v>
      </c>
    </row>
    <row r="55" spans="1:12" ht="18.75" x14ac:dyDescent="0.3">
      <c r="A55" s="282" t="s">
        <v>84</v>
      </c>
      <c r="B55" s="359" t="str">
        <f>B21</f>
        <v>Sulphamethoxazole 800 mg, Trimethoprim 160 mg</v>
      </c>
    </row>
    <row r="56" spans="1:12" ht="26.25" customHeight="1" x14ac:dyDescent="0.4">
      <c r="A56" s="360" t="s">
        <v>85</v>
      </c>
      <c r="B56" s="361">
        <v>160</v>
      </c>
      <c r="C56" s="282" t="str">
        <f>B20</f>
        <v>Sulphamethoxazole 800 mg, Trimethoprim 160 mg</v>
      </c>
      <c r="H56" s="362"/>
    </row>
    <row r="57" spans="1:12" ht="18.75" x14ac:dyDescent="0.3">
      <c r="A57" s="359" t="s">
        <v>86</v>
      </c>
      <c r="B57" s="363">
        <f>Uniformity!C46</f>
        <v>1155.5385000000001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87</v>
      </c>
      <c r="B59" s="306">
        <v>100</v>
      </c>
      <c r="C59" s="282"/>
      <c r="D59" s="364" t="s">
        <v>88</v>
      </c>
      <c r="E59" s="365" t="s">
        <v>60</v>
      </c>
      <c r="F59" s="365" t="s">
        <v>61</v>
      </c>
      <c r="G59" s="365" t="s">
        <v>89</v>
      </c>
      <c r="H59" s="309" t="s">
        <v>90</v>
      </c>
      <c r="L59" s="295"/>
    </row>
    <row r="60" spans="1:12" s="14" customFormat="1" ht="26.25" customHeight="1" x14ac:dyDescent="0.4">
      <c r="A60" s="307" t="s">
        <v>91</v>
      </c>
      <c r="B60" s="308">
        <v>2</v>
      </c>
      <c r="C60" s="494" t="s">
        <v>92</v>
      </c>
      <c r="D60" s="497">
        <v>577.89</v>
      </c>
      <c r="E60" s="366">
        <v>1</v>
      </c>
      <c r="F60" s="367">
        <v>9830235</v>
      </c>
      <c r="G60" s="368">
        <f>IF(ISBLANK(F60),"-",(F60/$D$50*$D$47*$B$68)*($B$57/$D$60))</f>
        <v>157.76430715262904</v>
      </c>
      <c r="H60" s="369">
        <f t="shared" ref="H60:H71" si="0">IF(ISBLANK(F60),"-",G60/$B$56)</f>
        <v>0.98602691970393153</v>
      </c>
      <c r="L60" s="295"/>
    </row>
    <row r="61" spans="1:12" s="14" customFormat="1" ht="26.25" customHeight="1" x14ac:dyDescent="0.4">
      <c r="A61" s="307" t="s">
        <v>93</v>
      </c>
      <c r="B61" s="308">
        <v>50</v>
      </c>
      <c r="C61" s="495"/>
      <c r="D61" s="498"/>
      <c r="E61" s="370">
        <v>2</v>
      </c>
      <c r="F61" s="320">
        <v>9846320</v>
      </c>
      <c r="G61" s="371">
        <f>IF(ISBLANK(F61),"-",(F61/$D$50*$D$47*$B$68)*($B$57/$D$60))</f>
        <v>158.02245346149655</v>
      </c>
      <c r="H61" s="372">
        <f t="shared" si="0"/>
        <v>0.98764033413435348</v>
      </c>
      <c r="L61" s="295"/>
    </row>
    <row r="62" spans="1:12" s="14" customFormat="1" ht="26.25" customHeight="1" x14ac:dyDescent="0.4">
      <c r="A62" s="307" t="s">
        <v>94</v>
      </c>
      <c r="B62" s="308">
        <v>1</v>
      </c>
      <c r="C62" s="495"/>
      <c r="D62" s="498"/>
      <c r="E62" s="370">
        <v>3</v>
      </c>
      <c r="F62" s="373">
        <v>9850896</v>
      </c>
      <c r="G62" s="371">
        <f>IF(ISBLANK(F62),"-",(F62/$D$50*$D$47*$B$68)*($B$57/$D$60))</f>
        <v>158.09589315744793</v>
      </c>
      <c r="H62" s="372">
        <f t="shared" si="0"/>
        <v>0.98809933223404955</v>
      </c>
      <c r="L62" s="295"/>
    </row>
    <row r="63" spans="1:12" ht="27" customHeight="1" x14ac:dyDescent="0.4">
      <c r="A63" s="307" t="s">
        <v>95</v>
      </c>
      <c r="B63" s="308">
        <v>1</v>
      </c>
      <c r="C63" s="505"/>
      <c r="D63" s="499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96</v>
      </c>
      <c r="B64" s="308">
        <v>1</v>
      </c>
      <c r="C64" s="494" t="s">
        <v>97</v>
      </c>
      <c r="D64" s="497">
        <v>576.25</v>
      </c>
      <c r="E64" s="366">
        <v>1</v>
      </c>
      <c r="F64" s="367">
        <v>9832156</v>
      </c>
      <c r="G64" s="376">
        <f>IF(ISBLANK(F64),"-",(F64/$D$50*$D$47*$B$68)*($B$57/$D$64))</f>
        <v>158.24421996629459</v>
      </c>
      <c r="H64" s="377">
        <f t="shared" si="0"/>
        <v>0.98902637478934119</v>
      </c>
    </row>
    <row r="65" spans="1:8" ht="26.25" customHeight="1" x14ac:dyDescent="0.4">
      <c r="A65" s="307" t="s">
        <v>98</v>
      </c>
      <c r="B65" s="308">
        <v>1</v>
      </c>
      <c r="C65" s="495"/>
      <c r="D65" s="498"/>
      <c r="E65" s="370">
        <v>2</v>
      </c>
      <c r="F65" s="320">
        <v>9839437</v>
      </c>
      <c r="G65" s="378">
        <f>IF(ISBLANK(F65),"-",(F65/$D$50*$D$47*$B$68)*($B$57/$D$64))</f>
        <v>158.36140445417035</v>
      </c>
      <c r="H65" s="379">
        <f t="shared" si="0"/>
        <v>0.9897587778385647</v>
      </c>
    </row>
    <row r="66" spans="1:8" ht="26.25" customHeight="1" x14ac:dyDescent="0.4">
      <c r="A66" s="307" t="s">
        <v>99</v>
      </c>
      <c r="B66" s="308">
        <v>1</v>
      </c>
      <c r="C66" s="495"/>
      <c r="D66" s="498"/>
      <c r="E66" s="370">
        <v>3</v>
      </c>
      <c r="F66" s="320">
        <v>9819308</v>
      </c>
      <c r="G66" s="378">
        <f>IF(ISBLANK(F66),"-",(F66/$D$50*$D$47*$B$68)*($B$57/$D$64))</f>
        <v>158.03743706556287</v>
      </c>
      <c r="H66" s="379">
        <f t="shared" si="0"/>
        <v>0.98773398165976789</v>
      </c>
    </row>
    <row r="67" spans="1:8" ht="27" customHeight="1" x14ac:dyDescent="0.4">
      <c r="A67" s="307" t="s">
        <v>100</v>
      </c>
      <c r="B67" s="308">
        <v>1</v>
      </c>
      <c r="C67" s="505"/>
      <c r="D67" s="499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101</v>
      </c>
      <c r="B68" s="382">
        <f>(B67/B66)*(B65/B64)*(B63/B62)*(B61/B60)*B59</f>
        <v>2500</v>
      </c>
      <c r="C68" s="494" t="s">
        <v>102</v>
      </c>
      <c r="D68" s="497">
        <v>578.72</v>
      </c>
      <c r="E68" s="366">
        <v>1</v>
      </c>
      <c r="F68" s="367">
        <v>9729662</v>
      </c>
      <c r="G68" s="376">
        <f>IF(ISBLANK(F68),"-",(F68/$D$50*$D$47*$B$68)*($B$57/$D$68))</f>
        <v>155.92627209234519</v>
      </c>
      <c r="H68" s="372">
        <f t="shared" si="0"/>
        <v>0.97453920057715737</v>
      </c>
    </row>
    <row r="69" spans="1:8" ht="27" customHeight="1" x14ac:dyDescent="0.4">
      <c r="A69" s="355" t="s">
        <v>103</v>
      </c>
      <c r="B69" s="383">
        <f>(D47*B68)/B56*B57</f>
        <v>541.6586718750001</v>
      </c>
      <c r="C69" s="495"/>
      <c r="D69" s="498"/>
      <c r="E69" s="370">
        <v>2</v>
      </c>
      <c r="F69" s="320">
        <v>9751939</v>
      </c>
      <c r="G69" s="378">
        <f>IF(ISBLANK(F69),"-",(F69/$D$50*$D$47*$B$68)*($B$57/$D$68))</f>
        <v>156.28328033820213</v>
      </c>
      <c r="H69" s="372">
        <f>IF(ISBLANK(F69),"-",G69/$B$56)</f>
        <v>0.97677050211376337</v>
      </c>
    </row>
    <row r="70" spans="1:8" ht="26.25" customHeight="1" x14ac:dyDescent="0.4">
      <c r="A70" s="500" t="s">
        <v>76</v>
      </c>
      <c r="B70" s="501"/>
      <c r="C70" s="495"/>
      <c r="D70" s="498"/>
      <c r="E70" s="370">
        <v>3</v>
      </c>
      <c r="F70" s="320">
        <v>9737222</v>
      </c>
      <c r="G70" s="378">
        <f>IF(ISBLANK(F70),"-",(F70/$D$50*$D$47*$B$68)*($B$57/$D$68))</f>
        <v>156.04742764913823</v>
      </c>
      <c r="H70" s="372">
        <f t="shared" si="0"/>
        <v>0.97529642280711393</v>
      </c>
    </row>
    <row r="71" spans="1:8" ht="27" customHeight="1" x14ac:dyDescent="0.4">
      <c r="A71" s="502"/>
      <c r="B71" s="503"/>
      <c r="C71" s="496"/>
      <c r="D71" s="499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69</v>
      </c>
      <c r="H72" s="388">
        <f>AVERAGE(H60:H71)</f>
        <v>0.98387687176200478</v>
      </c>
    </row>
    <row r="73" spans="1:8" ht="26.25" customHeight="1" x14ac:dyDescent="0.4">
      <c r="C73" s="385"/>
      <c r="D73" s="385"/>
      <c r="E73" s="385"/>
      <c r="F73" s="386"/>
      <c r="G73" s="389" t="s">
        <v>82</v>
      </c>
      <c r="H73" s="390">
        <f>STDEV(H60:H71)/H72</f>
        <v>6.4674880034009318E-3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19</v>
      </c>
      <c r="H74" s="393">
        <f>COUNT(H60:H71)</f>
        <v>9</v>
      </c>
    </row>
    <row r="76" spans="1:8" ht="26.25" customHeight="1" x14ac:dyDescent="0.4">
      <c r="A76" s="291" t="s">
        <v>104</v>
      </c>
      <c r="B76" s="394" t="s">
        <v>105</v>
      </c>
      <c r="C76" s="481" t="str">
        <f>B20</f>
        <v>Sulphamethoxazole 800 mg, Trimethoprim 160 mg</v>
      </c>
      <c r="D76" s="481"/>
      <c r="E76" s="395" t="s">
        <v>106</v>
      </c>
      <c r="F76" s="395"/>
      <c r="G76" s="396">
        <f>H72</f>
        <v>0.98387687176200478</v>
      </c>
      <c r="H76" s="397"/>
    </row>
    <row r="77" spans="1:8" ht="18.75" x14ac:dyDescent="0.3">
      <c r="A77" s="290" t="s">
        <v>107</v>
      </c>
      <c r="B77" s="290" t="s">
        <v>108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4" t="str">
        <f>B26</f>
        <v>Trimethoprim</v>
      </c>
      <c r="C79" s="504"/>
    </row>
    <row r="80" spans="1:8" ht="26.25" customHeight="1" x14ac:dyDescent="0.4">
      <c r="A80" s="292" t="s">
        <v>46</v>
      </c>
      <c r="B80" s="504" t="str">
        <f>B27</f>
        <v>NQCL-WRS-T7-1</v>
      </c>
      <c r="C80" s="504"/>
    </row>
    <row r="81" spans="1:12" ht="27" customHeight="1" x14ac:dyDescent="0.4">
      <c r="A81" s="292" t="s">
        <v>6</v>
      </c>
      <c r="B81" s="398">
        <f>B28</f>
        <v>99.66</v>
      </c>
    </row>
    <row r="82" spans="1:12" s="14" customFormat="1" ht="27" customHeight="1" x14ac:dyDescent="0.4">
      <c r="A82" s="292" t="s">
        <v>47</v>
      </c>
      <c r="B82" s="294">
        <v>0</v>
      </c>
      <c r="C82" s="483" t="s">
        <v>48</v>
      </c>
      <c r="D82" s="484"/>
      <c r="E82" s="484"/>
      <c r="F82" s="484"/>
      <c r="G82" s="485"/>
      <c r="I82" s="295"/>
      <c r="J82" s="295"/>
      <c r="K82" s="295"/>
      <c r="L82" s="295"/>
    </row>
    <row r="83" spans="1:12" s="14" customFormat="1" ht="19.5" customHeight="1" x14ac:dyDescent="0.3">
      <c r="A83" s="292" t="s">
        <v>49</v>
      </c>
      <c r="B83" s="296">
        <f>B81-B82</f>
        <v>99.66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50</v>
      </c>
      <c r="B84" s="299">
        <v>1</v>
      </c>
      <c r="C84" s="486" t="s">
        <v>109</v>
      </c>
      <c r="D84" s="487"/>
      <c r="E84" s="487"/>
      <c r="F84" s="487"/>
      <c r="G84" s="487"/>
      <c r="H84" s="488"/>
      <c r="I84" s="295"/>
      <c r="J84" s="295"/>
      <c r="K84" s="295"/>
      <c r="L84" s="295"/>
    </row>
    <row r="85" spans="1:12" s="14" customFormat="1" ht="27" customHeight="1" x14ac:dyDescent="0.4">
      <c r="A85" s="292" t="s">
        <v>52</v>
      </c>
      <c r="B85" s="299">
        <v>1</v>
      </c>
      <c r="C85" s="486" t="s">
        <v>110</v>
      </c>
      <c r="D85" s="487"/>
      <c r="E85" s="487"/>
      <c r="F85" s="487"/>
      <c r="G85" s="487"/>
      <c r="H85" s="488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56</v>
      </c>
      <c r="B89" s="306">
        <v>50</v>
      </c>
      <c r="D89" s="399" t="s">
        <v>57</v>
      </c>
      <c r="E89" s="400"/>
      <c r="F89" s="489" t="s">
        <v>58</v>
      </c>
      <c r="G89" s="490"/>
    </row>
    <row r="90" spans="1:12" ht="27" customHeight="1" x14ac:dyDescent="0.4">
      <c r="A90" s="307" t="s">
        <v>59</v>
      </c>
      <c r="B90" s="308">
        <v>5</v>
      </c>
      <c r="C90" s="401" t="s">
        <v>60</v>
      </c>
      <c r="D90" s="310" t="s">
        <v>61</v>
      </c>
      <c r="E90" s="311" t="s">
        <v>62</v>
      </c>
      <c r="F90" s="310" t="s">
        <v>61</v>
      </c>
      <c r="G90" s="402" t="s">
        <v>62</v>
      </c>
      <c r="I90" s="313" t="s">
        <v>63</v>
      </c>
    </row>
    <row r="91" spans="1:12" ht="26.25" customHeight="1" x14ac:dyDescent="0.4">
      <c r="A91" s="307" t="s">
        <v>64</v>
      </c>
      <c r="B91" s="308">
        <v>50</v>
      </c>
      <c r="C91" s="403">
        <v>1</v>
      </c>
      <c r="D91" s="315">
        <v>11026309</v>
      </c>
      <c r="E91" s="316">
        <f>IF(ISBLANK(D91),"-",$D$101/$D$98*D91)</f>
        <v>10295216.826540262</v>
      </c>
      <c r="F91" s="315">
        <v>10719951</v>
      </c>
      <c r="G91" s="317">
        <f>IF(ISBLANK(F91),"-",$D$101/$F$98*F91)</f>
        <v>10179674.932625819</v>
      </c>
      <c r="I91" s="318"/>
    </row>
    <row r="92" spans="1:12" ht="26.25" customHeight="1" x14ac:dyDescent="0.4">
      <c r="A92" s="307" t="s">
        <v>65</v>
      </c>
      <c r="B92" s="308">
        <v>1</v>
      </c>
      <c r="C92" s="386">
        <v>2</v>
      </c>
      <c r="D92" s="320">
        <v>11039649</v>
      </c>
      <c r="E92" s="321">
        <f>IF(ISBLANK(D92),"-",$D$101/$D$98*D92)</f>
        <v>10307672.326605247</v>
      </c>
      <c r="F92" s="320">
        <v>10973851</v>
      </c>
      <c r="G92" s="322">
        <f>IF(ISBLANK(F92),"-",$D$101/$F$98*F92)</f>
        <v>10420778.596755784</v>
      </c>
      <c r="I92" s="491">
        <f>ABS((F96/D96*D95)-F95)/D95</f>
        <v>2.6254127127067119E-3</v>
      </c>
    </row>
    <row r="93" spans="1:12" ht="26.25" customHeight="1" x14ac:dyDescent="0.4">
      <c r="A93" s="307" t="s">
        <v>66</v>
      </c>
      <c r="B93" s="308">
        <v>1</v>
      </c>
      <c r="C93" s="386">
        <v>3</v>
      </c>
      <c r="D93" s="320">
        <v>10992743</v>
      </c>
      <c r="E93" s="321">
        <f>IF(ISBLANK(D93),"-",$D$101/$D$98*D93)</f>
        <v>10263876.398115877</v>
      </c>
      <c r="F93" s="320">
        <v>10897979</v>
      </c>
      <c r="G93" s="322">
        <f>IF(ISBLANK(F93),"-",$D$101/$F$98*F93)</f>
        <v>10348730.478579855</v>
      </c>
      <c r="I93" s="491"/>
    </row>
    <row r="94" spans="1:12" ht="27" customHeight="1" x14ac:dyDescent="0.4">
      <c r="A94" s="307" t="s">
        <v>67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68</v>
      </c>
      <c r="B95" s="308">
        <v>1</v>
      </c>
      <c r="C95" s="406" t="s">
        <v>69</v>
      </c>
      <c r="D95" s="407">
        <f>AVERAGE(D91:D94)</f>
        <v>11019567</v>
      </c>
      <c r="E95" s="331">
        <f>AVERAGE(E91:E94)</f>
        <v>10288921.850420462</v>
      </c>
      <c r="F95" s="408">
        <f>AVERAGE(F91:F94)</f>
        <v>10863927</v>
      </c>
      <c r="G95" s="409">
        <f>AVERAGE(G91:G94)</f>
        <v>10316394.669320486</v>
      </c>
    </row>
    <row r="96" spans="1:12" ht="26.25" customHeight="1" x14ac:dyDescent="0.4">
      <c r="A96" s="307" t="s">
        <v>70</v>
      </c>
      <c r="B96" s="293">
        <v>1</v>
      </c>
      <c r="C96" s="410" t="s">
        <v>111</v>
      </c>
      <c r="D96" s="411">
        <v>16.12</v>
      </c>
      <c r="E96" s="323"/>
      <c r="F96" s="335">
        <v>15.85</v>
      </c>
    </row>
    <row r="97" spans="1:10" ht="26.25" customHeight="1" x14ac:dyDescent="0.4">
      <c r="A97" s="307" t="s">
        <v>72</v>
      </c>
      <c r="B97" s="293">
        <v>1</v>
      </c>
      <c r="C97" s="412" t="s">
        <v>112</v>
      </c>
      <c r="D97" s="413">
        <f>D96*$B$87</f>
        <v>16.12</v>
      </c>
      <c r="E97" s="338"/>
      <c r="F97" s="337">
        <f>F96*$B$87</f>
        <v>15.85</v>
      </c>
    </row>
    <row r="98" spans="1:10" ht="19.5" customHeight="1" x14ac:dyDescent="0.3">
      <c r="A98" s="307" t="s">
        <v>74</v>
      </c>
      <c r="B98" s="414">
        <f>(B97/B96)*(B95/B94)*(B93/B92)*(B91/B90)*B89</f>
        <v>500</v>
      </c>
      <c r="C98" s="412" t="s">
        <v>113</v>
      </c>
      <c r="D98" s="415">
        <f>D97*$B$83/100</f>
        <v>16.065192</v>
      </c>
      <c r="E98" s="341"/>
      <c r="F98" s="340">
        <f>F97*$B$83/100</f>
        <v>15.796109999999999</v>
      </c>
    </row>
    <row r="99" spans="1:10" ht="19.5" customHeight="1" x14ac:dyDescent="0.3">
      <c r="A99" s="477" t="s">
        <v>76</v>
      </c>
      <c r="B99" s="492"/>
      <c r="C99" s="412" t="s">
        <v>114</v>
      </c>
      <c r="D99" s="416">
        <f>D98/$B$98</f>
        <v>3.2130383999999998E-2</v>
      </c>
      <c r="E99" s="341"/>
      <c r="F99" s="344">
        <f>F98/$B$98</f>
        <v>3.1592219999999997E-2</v>
      </c>
      <c r="G99" s="417"/>
      <c r="H99" s="333"/>
    </row>
    <row r="100" spans="1:10" ht="19.5" customHeight="1" x14ac:dyDescent="0.3">
      <c r="A100" s="479"/>
      <c r="B100" s="493"/>
      <c r="C100" s="412" t="s">
        <v>78</v>
      </c>
      <c r="D100" s="418">
        <v>0.03</v>
      </c>
      <c r="F100" s="349"/>
      <c r="G100" s="419"/>
      <c r="H100" s="333"/>
    </row>
    <row r="101" spans="1:10" ht="18.75" x14ac:dyDescent="0.3">
      <c r="C101" s="412" t="s">
        <v>79</v>
      </c>
      <c r="D101" s="413">
        <f>D100*$B$98</f>
        <v>15</v>
      </c>
      <c r="F101" s="349"/>
      <c r="G101" s="417"/>
      <c r="H101" s="333"/>
    </row>
    <row r="102" spans="1:10" ht="19.5" customHeight="1" x14ac:dyDescent="0.3">
      <c r="C102" s="420" t="s">
        <v>80</v>
      </c>
      <c r="D102" s="421">
        <f>D101/B34</f>
        <v>15</v>
      </c>
      <c r="F102" s="353"/>
      <c r="G102" s="417"/>
      <c r="H102" s="333"/>
      <c r="J102" s="422"/>
    </row>
    <row r="103" spans="1:10" ht="18.75" x14ac:dyDescent="0.3">
      <c r="C103" s="423" t="s">
        <v>115</v>
      </c>
      <c r="D103" s="424">
        <f>AVERAGE(E91:E94,G91:G94)</f>
        <v>10302658.259870473</v>
      </c>
      <c r="F103" s="353"/>
      <c r="G103" s="425"/>
      <c r="H103" s="333"/>
      <c r="J103" s="426"/>
    </row>
    <row r="104" spans="1:10" ht="18.75" x14ac:dyDescent="0.3">
      <c r="C104" s="389" t="s">
        <v>82</v>
      </c>
      <c r="D104" s="427">
        <f>STDEV(E91:E94,G91:G94)/D103</f>
        <v>7.8595929878989019E-3</v>
      </c>
      <c r="F104" s="353"/>
      <c r="G104" s="417"/>
      <c r="H104" s="333"/>
      <c r="J104" s="426"/>
    </row>
    <row r="105" spans="1:10" ht="19.5" customHeight="1" x14ac:dyDescent="0.3">
      <c r="C105" s="392" t="s">
        <v>19</v>
      </c>
      <c r="D105" s="428">
        <f>COUNT(E91:E94,G91:G94)</f>
        <v>6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116</v>
      </c>
      <c r="B107" s="306">
        <v>900</v>
      </c>
      <c r="C107" s="429" t="s">
        <v>117</v>
      </c>
      <c r="D107" s="430" t="s">
        <v>61</v>
      </c>
      <c r="E107" s="431" t="s">
        <v>118</v>
      </c>
      <c r="F107" s="432" t="s">
        <v>119</v>
      </c>
    </row>
    <row r="108" spans="1:10" ht="26.25" customHeight="1" x14ac:dyDescent="0.4">
      <c r="A108" s="307" t="s">
        <v>120</v>
      </c>
      <c r="B108" s="308">
        <v>5</v>
      </c>
      <c r="C108" s="433">
        <v>1</v>
      </c>
      <c r="D108" s="434">
        <v>12088978</v>
      </c>
      <c r="E108" s="435">
        <f>IF(ISBLANK(D108),"-",D108/$D$103*$D$100*$B$116)</f>
        <v>126.72551016133717</v>
      </c>
      <c r="F108" s="436">
        <f t="shared" ref="F108:F113" si="1">IF(ISBLANK(D108), "-", E108/$B$56)</f>
        <v>0.79203443850835731</v>
      </c>
    </row>
    <row r="109" spans="1:10" ht="26.25" customHeight="1" x14ac:dyDescent="0.4">
      <c r="A109" s="307" t="s">
        <v>93</v>
      </c>
      <c r="B109" s="308">
        <v>20</v>
      </c>
      <c r="C109" s="433">
        <v>2</v>
      </c>
      <c r="D109" s="434">
        <v>12367873</v>
      </c>
      <c r="E109" s="437">
        <f t="shared" ref="E108:E113" si="2">IF(ISBLANK(D109),"-",D109/$D$103*$D$100*$B$116)</f>
        <v>129.64909155559943</v>
      </c>
      <c r="F109" s="438">
        <f t="shared" si="1"/>
        <v>0.81030682222249639</v>
      </c>
    </row>
    <row r="110" spans="1:10" ht="26.25" customHeight="1" x14ac:dyDescent="0.4">
      <c r="A110" s="307" t="s">
        <v>94</v>
      </c>
      <c r="B110" s="308">
        <v>1</v>
      </c>
      <c r="C110" s="433">
        <v>3</v>
      </c>
      <c r="D110" s="434">
        <v>12520719</v>
      </c>
      <c r="E110" s="437">
        <f t="shared" si="2"/>
        <v>131.25133513037639</v>
      </c>
      <c r="F110" s="438">
        <f>IF(ISBLANK(D110), "-", E110/$B$56)</f>
        <v>0.82032084456485244</v>
      </c>
    </row>
    <row r="111" spans="1:10" ht="26.25" customHeight="1" x14ac:dyDescent="0.4">
      <c r="A111" s="307" t="s">
        <v>95</v>
      </c>
      <c r="B111" s="308">
        <v>1</v>
      </c>
      <c r="C111" s="433">
        <v>4</v>
      </c>
      <c r="D111" s="434">
        <v>12364115</v>
      </c>
      <c r="E111" s="437">
        <f t="shared" si="2"/>
        <v>129.60969745072256</v>
      </c>
      <c r="F111" s="438">
        <f t="shared" si="1"/>
        <v>0.81006060906701605</v>
      </c>
    </row>
    <row r="112" spans="1:10" ht="26.25" customHeight="1" x14ac:dyDescent="0.4">
      <c r="A112" s="307" t="s">
        <v>96</v>
      </c>
      <c r="B112" s="308">
        <v>1</v>
      </c>
      <c r="C112" s="433">
        <v>5</v>
      </c>
      <c r="D112" s="434">
        <v>12542065</v>
      </c>
      <c r="E112" s="437">
        <f t="shared" si="2"/>
        <v>131.47509951640669</v>
      </c>
      <c r="F112" s="438">
        <f t="shared" si="1"/>
        <v>0.82171937197754175</v>
      </c>
    </row>
    <row r="113" spans="1:10" ht="26.25" customHeight="1" x14ac:dyDescent="0.4">
      <c r="A113" s="307" t="s">
        <v>98</v>
      </c>
      <c r="B113" s="308">
        <v>1</v>
      </c>
      <c r="C113" s="439">
        <v>6</v>
      </c>
      <c r="D113" s="440">
        <v>12124251</v>
      </c>
      <c r="E113" s="441">
        <f t="shared" si="2"/>
        <v>127.09526754859694</v>
      </c>
      <c r="F113" s="442">
        <f t="shared" si="1"/>
        <v>0.79434542217873083</v>
      </c>
    </row>
    <row r="114" spans="1:10" ht="26.25" customHeight="1" x14ac:dyDescent="0.4">
      <c r="A114" s="307" t="s">
        <v>99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100</v>
      </c>
      <c r="B115" s="308">
        <v>1</v>
      </c>
      <c r="C115" s="433"/>
      <c r="D115" s="444"/>
      <c r="E115" s="445" t="s">
        <v>69</v>
      </c>
      <c r="F115" s="446">
        <f>AVERAGE(F108:F113)</f>
        <v>0.80813125141983244</v>
      </c>
    </row>
    <row r="116" spans="1:10" ht="27" customHeight="1" x14ac:dyDescent="0.4">
      <c r="A116" s="307" t="s">
        <v>101</v>
      </c>
      <c r="B116" s="339">
        <f>(B115/B114)*(B113/B112)*(B111/B110)*(B109/B108)*B107</f>
        <v>3600</v>
      </c>
      <c r="C116" s="447"/>
      <c r="D116" s="448"/>
      <c r="E116" s="406" t="s">
        <v>82</v>
      </c>
      <c r="F116" s="449">
        <f>STDEV(F108:F113)/F115</f>
        <v>1.556238277097266E-2</v>
      </c>
      <c r="I116" s="281"/>
    </row>
    <row r="117" spans="1:10" ht="27" customHeight="1" x14ac:dyDescent="0.4">
      <c r="A117" s="477" t="s">
        <v>76</v>
      </c>
      <c r="B117" s="478"/>
      <c r="C117" s="450"/>
      <c r="D117" s="451"/>
      <c r="E117" s="452" t="s">
        <v>19</v>
      </c>
      <c r="F117" s="453">
        <f>COUNT(F108:F113)</f>
        <v>6</v>
      </c>
      <c r="I117" s="281"/>
      <c r="J117" s="426"/>
    </row>
    <row r="118" spans="1:10" ht="19.5" customHeight="1" x14ac:dyDescent="0.3">
      <c r="A118" s="479"/>
      <c r="B118" s="480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104</v>
      </c>
      <c r="B120" s="394" t="s">
        <v>121</v>
      </c>
      <c r="C120" s="481" t="str">
        <f>B20</f>
        <v>Sulphamethoxazole 800 mg, Trimethoprim 160 mg</v>
      </c>
      <c r="D120" s="481"/>
      <c r="E120" s="395" t="s">
        <v>122</v>
      </c>
      <c r="F120" s="395"/>
      <c r="G120" s="396">
        <f>F115</f>
        <v>0.80813125141983244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482"/>
      <c r="C122" s="482"/>
      <c r="E122" s="401" t="s">
        <v>26</v>
      </c>
      <c r="F122" s="456"/>
      <c r="G122" s="482" t="s">
        <v>27</v>
      </c>
      <c r="H122" s="482"/>
    </row>
    <row r="123" spans="1:10" ht="18.75" x14ac:dyDescent="0.3">
      <c r="A123" s="457" t="s">
        <v>28</v>
      </c>
      <c r="B123" s="458" t="s">
        <v>127</v>
      </c>
      <c r="C123" s="458"/>
      <c r="E123" s="458"/>
      <c r="F123" s="281"/>
      <c r="G123" s="459"/>
      <c r="H123" s="459"/>
    </row>
    <row r="124" spans="1:10" ht="18.75" x14ac:dyDescent="0.3">
      <c r="A124" s="457" t="s">
        <v>29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5" orientation="portrait" r:id="rId1"/>
  <rowBreaks count="1" manualBreakCount="1">
    <brk id="126" max="8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C39" sqref="C39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64" t="s">
        <v>123</v>
      </c>
      <c r="C18" s="72"/>
      <c r="D18" s="72"/>
      <c r="E18" s="72"/>
    </row>
    <row r="19" spans="1:5" ht="16.5" customHeight="1" x14ac:dyDescent="0.3">
      <c r="A19" s="75" t="s">
        <v>6</v>
      </c>
      <c r="B19" s="465">
        <v>99.66</v>
      </c>
      <c r="C19" s="72"/>
      <c r="D19" s="72"/>
      <c r="E19" s="72"/>
    </row>
    <row r="20" spans="1:5" ht="16.5" customHeight="1" x14ac:dyDescent="0.3">
      <c r="A20" s="8" t="s">
        <v>8</v>
      </c>
      <c r="B20" s="465">
        <v>16.32</v>
      </c>
      <c r="C20" s="72"/>
      <c r="D20" s="72"/>
      <c r="E20" s="72"/>
    </row>
    <row r="21" spans="1:5" ht="16.5" customHeight="1" x14ac:dyDescent="0.3">
      <c r="A21" s="8" t="s">
        <v>10</v>
      </c>
      <c r="B21" s="466">
        <f>B20/50*2/20</f>
        <v>3.2640000000000002E-2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10185788</v>
      </c>
      <c r="C24" s="18">
        <v>5752</v>
      </c>
      <c r="D24" s="19">
        <v>1.2</v>
      </c>
      <c r="E24" s="20">
        <v>3.9</v>
      </c>
    </row>
    <row r="25" spans="1:5" ht="16.5" customHeight="1" x14ac:dyDescent="0.3">
      <c r="A25" s="17">
        <v>2</v>
      </c>
      <c r="B25" s="18">
        <v>10176368</v>
      </c>
      <c r="C25" s="18">
        <v>5891</v>
      </c>
      <c r="D25" s="19">
        <v>1.2</v>
      </c>
      <c r="E25" s="19">
        <v>3.9</v>
      </c>
    </row>
    <row r="26" spans="1:5" ht="16.5" customHeight="1" x14ac:dyDescent="0.3">
      <c r="A26" s="17">
        <v>3</v>
      </c>
      <c r="B26" s="18">
        <v>10195929</v>
      </c>
      <c r="C26" s="18">
        <v>5899.7</v>
      </c>
      <c r="D26" s="19">
        <v>1.2</v>
      </c>
      <c r="E26" s="19">
        <v>3.9</v>
      </c>
    </row>
    <row r="27" spans="1:5" ht="16.5" customHeight="1" x14ac:dyDescent="0.3">
      <c r="A27" s="17">
        <v>4</v>
      </c>
      <c r="B27" s="18">
        <v>10207041</v>
      </c>
      <c r="C27" s="18">
        <v>5786.6</v>
      </c>
      <c r="D27" s="19">
        <v>1.2</v>
      </c>
      <c r="E27" s="19">
        <v>3.9</v>
      </c>
    </row>
    <row r="28" spans="1:5" ht="16.5" customHeight="1" x14ac:dyDescent="0.3">
      <c r="A28" s="17">
        <v>5</v>
      </c>
      <c r="B28" s="18">
        <v>10227648</v>
      </c>
      <c r="C28" s="18">
        <v>5894.7</v>
      </c>
      <c r="D28" s="19">
        <v>1.2</v>
      </c>
      <c r="E28" s="19">
        <v>3.9</v>
      </c>
    </row>
    <row r="29" spans="1:5" ht="16.5" customHeight="1" x14ac:dyDescent="0.3">
      <c r="A29" s="17">
        <v>6</v>
      </c>
      <c r="B29" s="21">
        <v>10232934</v>
      </c>
      <c r="C29" s="21">
        <v>5845.4</v>
      </c>
      <c r="D29" s="22">
        <v>1.2</v>
      </c>
      <c r="E29" s="22">
        <v>3.9</v>
      </c>
    </row>
    <row r="30" spans="1:5" ht="16.5" customHeight="1" x14ac:dyDescent="0.3">
      <c r="A30" s="23" t="s">
        <v>17</v>
      </c>
      <c r="B30" s="24">
        <f>AVERAGE(B24:B29)</f>
        <v>10204284.666666666</v>
      </c>
      <c r="C30" s="25">
        <f>AVERAGE(C24:C29)</f>
        <v>5844.9000000000005</v>
      </c>
      <c r="D30" s="26">
        <f>AVERAGE(D24:D29)</f>
        <v>1.2</v>
      </c>
      <c r="E30" s="26">
        <f>AVERAGE(E24:E29)</f>
        <v>3.9</v>
      </c>
    </row>
    <row r="31" spans="1:5" ht="16.5" customHeight="1" x14ac:dyDescent="0.3">
      <c r="A31" s="27" t="s">
        <v>18</v>
      </c>
      <c r="B31" s="28">
        <f>(STDEV(B24:B29)/B30)</f>
        <v>2.2198283043471717E-3</v>
      </c>
      <c r="C31" s="29"/>
      <c r="D31" s="29"/>
      <c r="E31" s="30"/>
    </row>
    <row r="32" spans="1:5" s="417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">
        <v>123</v>
      </c>
      <c r="C39" s="72"/>
      <c r="D39" s="72"/>
      <c r="E39" s="72"/>
    </row>
    <row r="40" spans="1:5" ht="16.5" customHeight="1" x14ac:dyDescent="0.3">
      <c r="A40" s="75" t="s">
        <v>6</v>
      </c>
      <c r="B40" s="514">
        <v>99.66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16.12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B41/50*5/50</f>
        <v>3.2240000000000005E-2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10960661</v>
      </c>
      <c r="C45" s="18">
        <v>8855.9</v>
      </c>
      <c r="D45" s="19">
        <v>1.18</v>
      </c>
      <c r="E45" s="20">
        <v>4.57</v>
      </c>
    </row>
    <row r="46" spans="1:5" ht="16.5" customHeight="1" x14ac:dyDescent="0.3">
      <c r="A46" s="17">
        <v>2</v>
      </c>
      <c r="B46" s="18">
        <v>11134987</v>
      </c>
      <c r="C46" s="18">
        <v>8792.5</v>
      </c>
      <c r="D46" s="19">
        <v>1.17</v>
      </c>
      <c r="E46" s="19">
        <v>4.4800000000000004</v>
      </c>
    </row>
    <row r="47" spans="1:5" ht="16.5" customHeight="1" x14ac:dyDescent="0.3">
      <c r="A47" s="17">
        <v>3</v>
      </c>
      <c r="B47" s="18">
        <v>11126586</v>
      </c>
      <c r="C47" s="18">
        <v>8849.7000000000007</v>
      </c>
      <c r="D47" s="19">
        <v>1.18</v>
      </c>
      <c r="E47" s="19">
        <v>4.45</v>
      </c>
    </row>
    <row r="48" spans="1:5" ht="16.5" customHeight="1" x14ac:dyDescent="0.3">
      <c r="A48" s="17">
        <v>4</v>
      </c>
      <c r="B48" s="18">
        <v>11090612</v>
      </c>
      <c r="C48" s="18">
        <v>8955.9</v>
      </c>
      <c r="D48" s="19">
        <v>1.23</v>
      </c>
      <c r="E48" s="19">
        <v>4.4400000000000004</v>
      </c>
    </row>
    <row r="49" spans="1:7" ht="16.5" customHeight="1" x14ac:dyDescent="0.3">
      <c r="A49" s="17">
        <v>5</v>
      </c>
      <c r="B49" s="18">
        <v>11108918</v>
      </c>
      <c r="C49" s="18">
        <v>8975.5</v>
      </c>
      <c r="D49" s="19">
        <v>1.21</v>
      </c>
      <c r="E49" s="19">
        <v>4.45</v>
      </c>
    </row>
    <row r="50" spans="1:7" ht="16.5" customHeight="1" x14ac:dyDescent="0.3">
      <c r="A50" s="17">
        <v>6</v>
      </c>
      <c r="B50" s="21">
        <v>11066449</v>
      </c>
      <c r="C50" s="21">
        <v>8990.1</v>
      </c>
      <c r="D50" s="22">
        <v>1.23</v>
      </c>
      <c r="E50" s="22">
        <v>4.4400000000000004</v>
      </c>
    </row>
    <row r="51" spans="1:7" ht="16.5" customHeight="1" x14ac:dyDescent="0.3">
      <c r="A51" s="23" t="s">
        <v>17</v>
      </c>
      <c r="B51" s="24">
        <f>AVERAGE(B45:B50)</f>
        <v>11081368.833333334</v>
      </c>
      <c r="C51" s="25">
        <f>AVERAGE(C45:C50)</f>
        <v>8903.2666666666664</v>
      </c>
      <c r="D51" s="26">
        <f>AVERAGE(D45:D50)</f>
        <v>1.2</v>
      </c>
      <c r="E51" s="26">
        <f>AVERAGE(E45:E50)</f>
        <v>4.4716666666666667</v>
      </c>
    </row>
    <row r="52" spans="1:7" ht="16.5" customHeight="1" x14ac:dyDescent="0.3">
      <c r="A52" s="27" t="s">
        <v>18</v>
      </c>
      <c r="B52" s="28">
        <f>(STDEV(B45:B50)/B51)</f>
        <v>5.7862892067681278E-3</v>
      </c>
      <c r="C52" s="29"/>
      <c r="D52" s="29"/>
      <c r="E52" s="30"/>
    </row>
    <row r="53" spans="1:7" s="417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8" t="s">
        <v>25</v>
      </c>
      <c r="C59" s="46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SULPHAMETHOXAZOLE</vt:lpstr>
      <vt:lpstr>TRIMETHROPRIM</vt:lpstr>
      <vt:lpstr>SST (Trim)</vt:lpstr>
      <vt:lpstr>SULPHAMETHOXAZOLE!Print_Area</vt:lpstr>
      <vt:lpstr>TRIMETHROPRIM!Print_Area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2015-06-16T11:35:01Z</cp:lastPrinted>
  <dcterms:created xsi:type="dcterms:W3CDTF">2005-07-05T10:19:27Z</dcterms:created>
  <dcterms:modified xsi:type="dcterms:W3CDTF">2015-06-16T11:35:42Z</dcterms:modified>
  <cp:category/>
</cp:coreProperties>
</file>