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270" yWindow="555" windowWidth="9255" windowHeight="7620" activeTab="3"/>
  </bookViews>
  <sheets>
    <sheet name="SST" sheetId="1" r:id="rId1"/>
    <sheet name="Uniformity" sheetId="2" r:id="rId2"/>
    <sheet name="SULPHAMETHOXAZOLE" sheetId="3" r:id="rId3"/>
    <sheet name="TRIMETHROPRIM" sheetId="4" r:id="rId4"/>
    <sheet name="SST (Trim)" sheetId="5" r:id="rId5"/>
  </sheets>
  <definedNames>
    <definedName name="_xlnm.Print_Area" localSheetId="2">SULPHAMETHOXAZOLE!$A$1:$H$127</definedName>
    <definedName name="_xlnm.Print_Area" localSheetId="3">TRIMETHROPRIM!$A$1:$I$128</definedName>
    <definedName name="_xlnm.Print_Area" localSheetId="1">Uniformity!$A$1:$F$54</definedName>
  </definedNames>
  <calcPr calcId="145621"/>
</workbook>
</file>

<file path=xl/calcChain.xml><?xml version="1.0" encoding="utf-8"?>
<calcChain xmlns="http://schemas.openxmlformats.org/spreadsheetml/2006/main">
  <c r="G120" i="3" l="1"/>
  <c r="F113" i="3"/>
  <c r="F109" i="3"/>
  <c r="E108" i="3"/>
  <c r="G91" i="3"/>
  <c r="B53" i="5" l="1"/>
  <c r="E51" i="5"/>
  <c r="D51" i="5"/>
  <c r="C51" i="5"/>
  <c r="B51" i="5"/>
  <c r="B52" i="5" s="1"/>
  <c r="B42" i="5"/>
  <c r="B53" i="1"/>
  <c r="E51" i="1"/>
  <c r="D51" i="1"/>
  <c r="C51" i="1"/>
  <c r="B51" i="1"/>
  <c r="B52" i="1" s="1"/>
  <c r="B42" i="1"/>
  <c r="F113" i="4"/>
  <c r="F110" i="4"/>
  <c r="B32" i="5" l="1"/>
  <c r="B31" i="5"/>
  <c r="E30" i="1"/>
  <c r="D30" i="1"/>
  <c r="C30" i="1"/>
  <c r="B30" i="1"/>
  <c r="B21" i="1"/>
  <c r="G76" i="3"/>
  <c r="G69" i="3"/>
  <c r="B69" i="3"/>
  <c r="B68" i="3"/>
  <c r="B57" i="3"/>
  <c r="B45" i="3"/>
  <c r="B30" i="3"/>
  <c r="B68" i="4"/>
  <c r="B57" i="4"/>
  <c r="B30" i="4"/>
  <c r="C120" i="4"/>
  <c r="B116" i="4"/>
  <c r="E113" i="4"/>
  <c r="F112" i="4"/>
  <c r="E112" i="4"/>
  <c r="E111" i="4"/>
  <c r="F111" i="4" s="1"/>
  <c r="E110" i="4"/>
  <c r="E109" i="4"/>
  <c r="F109" i="4" s="1"/>
  <c r="F108" i="4"/>
  <c r="E108" i="4"/>
  <c r="B98" i="4"/>
  <c r="F95" i="4"/>
  <c r="D95" i="4"/>
  <c r="G94" i="4"/>
  <c r="E94" i="4"/>
  <c r="G93" i="4"/>
  <c r="E93" i="4"/>
  <c r="G92" i="4"/>
  <c r="E92" i="4"/>
  <c r="G91" i="4"/>
  <c r="E91" i="4"/>
  <c r="B87" i="4"/>
  <c r="F97" i="4" s="1"/>
  <c r="B81" i="4"/>
  <c r="B83" i="4" s="1"/>
  <c r="B80" i="4"/>
  <c r="B79" i="4"/>
  <c r="C76" i="4"/>
  <c r="H71" i="4"/>
  <c r="G71" i="4"/>
  <c r="G70" i="4"/>
  <c r="H70" i="4" s="1"/>
  <c r="H69" i="4"/>
  <c r="G69" i="4"/>
  <c r="G68" i="4"/>
  <c r="H68" i="4" s="1"/>
  <c r="H67" i="4"/>
  <c r="G67" i="4"/>
  <c r="G66" i="4"/>
  <c r="H66" i="4" s="1"/>
  <c r="G65" i="4"/>
  <c r="H65" i="4" s="1"/>
  <c r="G64" i="4"/>
  <c r="H64" i="4" s="1"/>
  <c r="H63" i="4"/>
  <c r="G63" i="4"/>
  <c r="G62" i="4"/>
  <c r="H62" i="4" s="1"/>
  <c r="G61" i="4"/>
  <c r="H61" i="4" s="1"/>
  <c r="G60" i="4"/>
  <c r="H60" i="4" s="1"/>
  <c r="C56" i="4"/>
  <c r="B55" i="4"/>
  <c r="B45" i="4"/>
  <c r="D48" i="4" s="1"/>
  <c r="D49" i="4" s="1"/>
  <c r="F44" i="4"/>
  <c r="F42" i="4"/>
  <c r="I39" i="4" s="1"/>
  <c r="D42" i="4"/>
  <c r="G41" i="4"/>
  <c r="E41" i="4"/>
  <c r="G40" i="4"/>
  <c r="E40" i="4"/>
  <c r="G39" i="4"/>
  <c r="E39" i="4"/>
  <c r="E42" i="4" s="1"/>
  <c r="G38" i="4"/>
  <c r="E38" i="4"/>
  <c r="B34" i="4"/>
  <c r="D44" i="4" s="1"/>
  <c r="C120" i="3"/>
  <c r="B116" i="3"/>
  <c r="B98" i="3"/>
  <c r="D97" i="3"/>
  <c r="F95" i="3"/>
  <c r="I92" i="3" s="1"/>
  <c r="D95" i="3"/>
  <c r="G94" i="3"/>
  <c r="E94" i="3"/>
  <c r="G93" i="3"/>
  <c r="E93" i="3"/>
  <c r="G92" i="3"/>
  <c r="E92" i="3"/>
  <c r="E91" i="3"/>
  <c r="B87" i="3"/>
  <c r="F97" i="3" s="1"/>
  <c r="B81" i="3"/>
  <c r="B83" i="3" s="1"/>
  <c r="D98" i="3" s="1"/>
  <c r="B80" i="3"/>
  <c r="B79" i="3"/>
  <c r="C76" i="3"/>
  <c r="H71" i="3"/>
  <c r="G71" i="3"/>
  <c r="H70" i="3"/>
  <c r="G70" i="3"/>
  <c r="H69" i="3"/>
  <c r="G68" i="3"/>
  <c r="H68" i="3" s="1"/>
  <c r="H67" i="3"/>
  <c r="G67" i="3"/>
  <c r="G66" i="3"/>
  <c r="H66" i="3" s="1"/>
  <c r="H65" i="3"/>
  <c r="G65" i="3"/>
  <c r="G64" i="3"/>
  <c r="H64" i="3" s="1"/>
  <c r="H63" i="3"/>
  <c r="G63" i="3"/>
  <c r="G62" i="3"/>
  <c r="H62" i="3" s="1"/>
  <c r="G61" i="3"/>
  <c r="H61" i="3" s="1"/>
  <c r="G60" i="3"/>
  <c r="H60" i="3" s="1"/>
  <c r="C56" i="3"/>
  <c r="B55" i="3"/>
  <c r="D48" i="3"/>
  <c r="D49" i="3" s="1"/>
  <c r="F42" i="3"/>
  <c r="D42" i="3"/>
  <c r="G41" i="3"/>
  <c r="E41" i="3"/>
  <c r="G40" i="3"/>
  <c r="E39" i="3"/>
  <c r="G38" i="3"/>
  <c r="B34" i="3"/>
  <c r="F44" i="3" s="1"/>
  <c r="D49" i="2"/>
  <c r="C46" i="2"/>
  <c r="C49" i="2" s="1"/>
  <c r="C45" i="2"/>
  <c r="D41" i="2"/>
  <c r="D40" i="2"/>
  <c r="D37" i="2"/>
  <c r="D36" i="2"/>
  <c r="D33" i="2"/>
  <c r="D32" i="2"/>
  <c r="D29" i="2"/>
  <c r="D28" i="2"/>
  <c r="D25" i="2"/>
  <c r="D24" i="2"/>
  <c r="C19" i="2"/>
  <c r="B32" i="1"/>
  <c r="B31" i="1"/>
  <c r="I92" i="4" l="1"/>
  <c r="E95" i="4"/>
  <c r="F115" i="4"/>
  <c r="G120" i="4" s="1"/>
  <c r="G95" i="4"/>
  <c r="D101" i="4"/>
  <c r="D102" i="4" s="1"/>
  <c r="D101" i="3"/>
  <c r="D102" i="3" s="1"/>
  <c r="D99" i="3"/>
  <c r="G39" i="3"/>
  <c r="E38" i="3"/>
  <c r="E42" i="3" s="1"/>
  <c r="E40" i="3"/>
  <c r="I39" i="3"/>
  <c r="G42" i="3"/>
  <c r="H72" i="3"/>
  <c r="H73" i="3" s="1"/>
  <c r="F45" i="3"/>
  <c r="F46" i="3" s="1"/>
  <c r="D103" i="3"/>
  <c r="G95" i="3"/>
  <c r="H74" i="3"/>
  <c r="F98" i="3"/>
  <c r="F99" i="3" s="1"/>
  <c r="B69" i="4"/>
  <c r="D52" i="4"/>
  <c r="F45" i="4"/>
  <c r="F46" i="4" s="1"/>
  <c r="D45" i="4"/>
  <c r="D46" i="4" s="1"/>
  <c r="G42" i="4"/>
  <c r="H72" i="4"/>
  <c r="H73" i="4" s="1"/>
  <c r="D103" i="4"/>
  <c r="D104" i="4" s="1"/>
  <c r="F98" i="4"/>
  <c r="F99" i="4" s="1"/>
  <c r="D50" i="4"/>
  <c r="D51" i="4" s="1"/>
  <c r="C50" i="2"/>
  <c r="D52" i="3"/>
  <c r="D105" i="3"/>
  <c r="H74" i="4"/>
  <c r="D26" i="2"/>
  <c r="D30" i="2"/>
  <c r="D34" i="2"/>
  <c r="D38" i="2"/>
  <c r="D42" i="2"/>
  <c r="B49" i="2"/>
  <c r="D50" i="2"/>
  <c r="D44" i="3"/>
  <c r="D45" i="3" s="1"/>
  <c r="D46" i="3" s="1"/>
  <c r="E95" i="3"/>
  <c r="D97" i="4"/>
  <c r="D98" i="4" s="1"/>
  <c r="D99" i="4" s="1"/>
  <c r="D105" i="4"/>
  <c r="F117" i="4"/>
  <c r="D27" i="2"/>
  <c r="D31" i="2"/>
  <c r="D35" i="2"/>
  <c r="D39" i="2"/>
  <c r="D43" i="2"/>
  <c r="D104" i="3" l="1"/>
  <c r="E109" i="3"/>
  <c r="F108" i="3"/>
  <c r="E111" i="3"/>
  <c r="F111" i="3" s="1"/>
  <c r="E110" i="3"/>
  <c r="F110" i="3" s="1"/>
  <c r="E113" i="3"/>
  <c r="E112" i="3"/>
  <c r="F112" i="3" s="1"/>
  <c r="F116" i="4"/>
  <c r="D50" i="3"/>
  <c r="D51" i="3" s="1"/>
  <c r="G76" i="4"/>
  <c r="F115" i="3" l="1"/>
  <c r="F117" i="3"/>
  <c r="F116" i="3" l="1"/>
</calcChain>
</file>

<file path=xl/sharedStrings.xml><?xml version="1.0" encoding="utf-8"?>
<sst xmlns="http://schemas.openxmlformats.org/spreadsheetml/2006/main" count="434" uniqueCount="127">
  <si>
    <t>HPLC System Suitability Report</t>
  </si>
  <si>
    <t>Analysis Data</t>
  </si>
  <si>
    <t>Assay</t>
  </si>
  <si>
    <t>Sample(s)</t>
  </si>
  <si>
    <t>Reference Substance:</t>
  </si>
  <si>
    <t>COTRIMOXAZOLE 960 TABLETS</t>
  </si>
  <si>
    <t>% age Purity:</t>
  </si>
  <si>
    <t>NDQD201504194</t>
  </si>
  <si>
    <t>Weight (mg):</t>
  </si>
  <si>
    <t>Sulphamethoxazole 800 mg, Trimethoprim 160 mg</t>
  </si>
  <si>
    <t>Standard Conc (mg/mL):</t>
  </si>
  <si>
    <t>2015-04-22 14:23:04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</si>
  <si>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</si>
  <si>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</si>
  <si>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</si>
  <si>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</si>
  <si>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</si>
  <si>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</si>
  <si>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</si>
  <si>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</si>
  <si>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</si>
  <si>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</si>
  <si>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</si>
  <si>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</si>
  <si>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</si>
  <si>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</si>
  <si>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</si>
  <si>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</si>
  <si>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</si>
  <si>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</si>
  <si>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</si>
  <si>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</si>
  <si>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</si>
  <si>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</si>
  <si>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</si>
  <si>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</si>
  <si>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</si>
  <si>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</si>
  <si>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</si>
  <si>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</si>
  <si>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</si>
  <si>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</si>
  <si>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</si>
  <si>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</si>
  <si>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Analysis Report</t>
  </si>
  <si>
    <t>Sulfamethoxazole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</si>
  <si>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</si>
  <si>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</si>
  <si>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</si>
  <si>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</si>
  <si>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</si>
  <si>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</si>
  <si>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</si>
  <si>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</si>
  <si>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</si>
  <si>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</si>
  <si>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</si>
  <si>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</si>
  <si>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</si>
  <si>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</si>
  <si>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</si>
  <si>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</si>
  <si>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</si>
  <si>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</si>
  <si>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</si>
  <si>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</si>
  <si>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</si>
  <si>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</si>
  <si>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</si>
  <si>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</si>
  <si>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</si>
  <si>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</si>
  <si>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</si>
  <si>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</si>
  <si>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</si>
  <si>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</si>
  <si>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</si>
  <si>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</si>
  <si>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</si>
  <si>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</si>
  <si>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</si>
  <si>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</si>
  <si>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</si>
  <si>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</si>
  <si>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</si>
  <si>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Capsule contains</t>
  </si>
  <si>
    <t>Average Capsule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</si>
  <si>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</si>
  <si>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</si>
  <si>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</si>
  <si>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</si>
  <si>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</si>
  <si>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</si>
  <si>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</si>
  <si>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</si>
  <si>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</si>
  <si>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</si>
  <si>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</si>
  <si>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</si>
  <si>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</si>
  <si>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</si>
  <si>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</si>
  <si>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</si>
  <si>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</si>
  <si>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</si>
  <si>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</si>
  <si>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</si>
  <si>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</si>
  <si>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</si>
  <si>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</si>
  <si>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</si>
  <si>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</si>
  <si>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</si>
  <si>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</si>
  <si>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</si>
  <si>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</si>
  <si>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</si>
  <si>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</si>
  <si>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</si>
  <si>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</si>
  <si>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</si>
  <si>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</si>
  <si>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</si>
  <si>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18th May 2015</t>
  </si>
  <si>
    <t>Trimethoprim</t>
  </si>
  <si>
    <t>T7 -2</t>
  </si>
  <si>
    <t>NQCL-PRS-S12-2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</si>
</sst>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</numFmts>
  <fonts count="24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b/>
      <sz val="10"/>
      <color rgb="FF000000"/>
      <name val="Arial"/>
      <family val="2"/>
    </font>
    <font>
      <sz val="12"/>
      <color rgb="FF000000"/>
      <name val="Arial"/>
      <family val="2"/>
    </font>
    <font>
      <b/>
      <i/>
      <sz val="10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u/>
      <sz val="16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sz val="10"/>
      <name val="Arial"/>
      <family val="2"/>
    </font>
    <font>
      <b/>
      <sz val="14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6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2" fillId="2" borderId="0"/>
  </cellStyleXfs>
  <cellXfs count="514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166" fontId="12" fillId="2" borderId="0" xfId="0" applyNumberFormat="1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2" fontId="11" fillId="2" borderId="21" xfId="0" applyNumberFormat="1" applyFont="1" applyFill="1" applyBorder="1" applyAlignment="1">
      <alignment horizontal="center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2" fontId="11" fillId="2" borderId="23" xfId="0" applyNumberFormat="1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2" fontId="11" fillId="2" borderId="13" xfId="0" applyNumberFormat="1" applyFont="1" applyFill="1" applyBorder="1" applyAlignment="1">
      <alignment horizontal="center"/>
    </xf>
    <xf numFmtId="10" fontId="11" fillId="2" borderId="22" xfId="0" applyNumberFormat="1" applyFont="1" applyFill="1" applyBorder="1" applyAlignment="1">
      <alignment horizontal="center" vertical="center"/>
    </xf>
    <xf numFmtId="2" fontId="11" fillId="2" borderId="14" xfId="0" applyNumberFormat="1" applyFont="1" applyFill="1" applyBorder="1" applyAlignment="1">
      <alignment horizontal="center"/>
    </xf>
    <xf numFmtId="10" fontId="11" fillId="2" borderId="24" xfId="0" applyNumberFormat="1" applyFont="1" applyFill="1" applyBorder="1" applyAlignment="1">
      <alignment horizontal="center" vertical="center"/>
    </xf>
    <xf numFmtId="2" fontId="11" fillId="2" borderId="15" xfId="0" applyNumberFormat="1" applyFont="1" applyFill="1" applyBorder="1" applyAlignment="1">
      <alignment horizont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165" fontId="13" fillId="6" borderId="46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7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8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9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50" xfId="0" applyNumberFormat="1" applyFont="1" applyFill="1" applyBorder="1" applyAlignment="1">
      <alignment horizontal="center"/>
    </xf>
    <xf numFmtId="1" fontId="12" fillId="6" borderId="51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2" xfId="0" applyFont="1" applyFill="1" applyBorder="1" applyAlignment="1">
      <alignment horizontal="right"/>
    </xf>
    <xf numFmtId="0" fontId="13" fillId="3" borderId="53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4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8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56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2" fontId="11" fillId="2" borderId="26" xfId="0" applyNumberFormat="1" applyFont="1" applyFill="1" applyBorder="1" applyAlignment="1">
      <alignment horizontal="center"/>
    </xf>
    <xf numFmtId="10" fontId="11" fillId="2" borderId="30" xfId="0" applyNumberFormat="1" applyFont="1" applyFill="1" applyBorder="1" applyAlignment="1">
      <alignment horizontal="center"/>
    </xf>
    <xf numFmtId="2" fontId="11" fillId="2" borderId="31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2" fontId="11" fillId="2" borderId="35" xfId="0" applyNumberFormat="1" applyFont="1" applyFill="1" applyBorder="1" applyAlignment="1">
      <alignment horizontal="center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2" fillId="2" borderId="0" xfId="0" applyNumberFormat="1" applyFont="1" applyFill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0" fontId="11" fillId="2" borderId="6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7" xfId="0" applyFont="1" applyFill="1" applyBorder="1" applyAlignment="1">
      <alignment horizontal="center"/>
    </xf>
    <xf numFmtId="0" fontId="11" fillId="2" borderId="58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166" fontId="12" fillId="2" borderId="0" xfId="0" applyNumberFormat="1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2" fontId="11" fillId="2" borderId="21" xfId="0" applyNumberFormat="1" applyFont="1" applyFill="1" applyBorder="1" applyAlignment="1">
      <alignment horizontal="center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2" fontId="11" fillId="2" borderId="23" xfId="0" applyNumberFormat="1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2" fontId="11" fillId="2" borderId="13" xfId="0" applyNumberFormat="1" applyFont="1" applyFill="1" applyBorder="1" applyAlignment="1">
      <alignment horizontal="center"/>
    </xf>
    <xf numFmtId="10" fontId="11" fillId="2" borderId="22" xfId="0" applyNumberFormat="1" applyFont="1" applyFill="1" applyBorder="1" applyAlignment="1">
      <alignment horizontal="center" vertical="center"/>
    </xf>
    <xf numFmtId="2" fontId="11" fillId="2" borderId="14" xfId="0" applyNumberFormat="1" applyFont="1" applyFill="1" applyBorder="1" applyAlignment="1">
      <alignment horizontal="center"/>
    </xf>
    <xf numFmtId="10" fontId="11" fillId="2" borderId="24" xfId="0" applyNumberFormat="1" applyFont="1" applyFill="1" applyBorder="1" applyAlignment="1">
      <alignment horizontal="center" vertical="center"/>
    </xf>
    <xf numFmtId="2" fontId="11" fillId="2" borderId="15" xfId="0" applyNumberFormat="1" applyFont="1" applyFill="1" applyBorder="1" applyAlignment="1">
      <alignment horizont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165" fontId="13" fillId="6" borderId="46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7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8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9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50" xfId="0" applyNumberFormat="1" applyFont="1" applyFill="1" applyBorder="1" applyAlignment="1">
      <alignment horizontal="center"/>
    </xf>
    <xf numFmtId="1" fontId="12" fillId="6" borderId="51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2" xfId="0" applyFont="1" applyFill="1" applyBorder="1" applyAlignment="1">
      <alignment horizontal="right"/>
    </xf>
    <xf numFmtId="0" fontId="13" fillId="3" borderId="53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4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8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56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2" fontId="11" fillId="2" borderId="26" xfId="0" applyNumberFormat="1" applyFont="1" applyFill="1" applyBorder="1" applyAlignment="1">
      <alignment horizontal="center"/>
    </xf>
    <xf numFmtId="10" fontId="11" fillId="2" borderId="30" xfId="0" applyNumberFormat="1" applyFont="1" applyFill="1" applyBorder="1" applyAlignment="1">
      <alignment horizontal="center"/>
    </xf>
    <xf numFmtId="2" fontId="11" fillId="2" borderId="31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2" fontId="11" fillId="2" borderId="35" xfId="0" applyNumberFormat="1" applyFont="1" applyFill="1" applyBorder="1" applyAlignment="1">
      <alignment horizontal="center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2" fillId="2" borderId="0" xfId="0" applyNumberFormat="1" applyFont="1" applyFill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0" fontId="11" fillId="2" borderId="6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7" xfId="0" applyFont="1" applyFill="1" applyBorder="1" applyAlignment="1">
      <alignment horizontal="center"/>
    </xf>
    <xf numFmtId="0" fontId="11" fillId="2" borderId="58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0" fontId="23" fillId="2" borderId="0" xfId="1" applyFont="1" applyAlignment="1">
      <alignment horizontal="left"/>
    </xf>
    <xf numFmtId="2" fontId="23" fillId="2" borderId="0" xfId="1" applyNumberFormat="1" applyFont="1" applyAlignment="1">
      <alignment horizontal="center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8" xfId="0" applyFont="1" applyFill="1" applyBorder="1" applyAlignment="1">
      <alignment horizontal="center"/>
    </xf>
    <xf numFmtId="0" fontId="12" fillId="2" borderId="59" xfId="0" applyFont="1" applyFill="1" applyBorder="1" applyAlignment="1">
      <alignment horizontal="center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43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0" fontId="13" fillId="3" borderId="0" xfId="0" applyFont="1" applyFill="1" applyAlignment="1" applyProtection="1">
      <alignment horizontal="left"/>
      <protection locked="0"/>
    </xf>
    <xf numFmtId="0" fontId="12" fillId="2" borderId="9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/>
      <protection locked="0"/>
    </xf>
    <xf numFmtId="0" fontId="12" fillId="2" borderId="40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2" fontId="5" fillId="2" borderId="0" xfId="0" applyNumberFormat="1" applyFont="1" applyFill="1" applyAlignment="1">
      <alignment horizontal="left"/>
    </xf>
  </cellXfs>
  <cellStyles count="2">
    <cellStyle name="Normal" xfId="0" builtinId="0"/>
    <cellStyle name="Normal 2" xfId="1"/>
  </cellStyles>
  <dxfs count="37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28" workbookViewId="0">
      <selection activeCell="C47" sqref="C47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466" t="s">
        <v>0</v>
      </c>
      <c r="B15" s="466"/>
      <c r="C15" s="466"/>
      <c r="D15" s="466"/>
      <c r="E15" s="466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/>
      <c r="D17" s="9"/>
      <c r="E17" s="10"/>
    </row>
    <row r="18" spans="1:6" ht="16.5" customHeight="1" x14ac:dyDescent="0.3">
      <c r="A18" s="11" t="s">
        <v>4</v>
      </c>
      <c r="B18" s="464" t="s">
        <v>45</v>
      </c>
      <c r="C18" s="417"/>
      <c r="D18" s="72"/>
      <c r="E18" s="72"/>
    </row>
    <row r="19" spans="1:6" ht="16.5" customHeight="1" x14ac:dyDescent="0.3">
      <c r="A19" s="11" t="s">
        <v>6</v>
      </c>
      <c r="B19" s="465">
        <v>99.58</v>
      </c>
      <c r="C19" s="72"/>
      <c r="D19" s="72"/>
      <c r="E19" s="72"/>
    </row>
    <row r="20" spans="1:6" ht="16.5" customHeight="1" x14ac:dyDescent="0.3">
      <c r="A20" s="7" t="s">
        <v>8</v>
      </c>
      <c r="B20" s="465">
        <v>16.54</v>
      </c>
      <c r="C20" s="72"/>
      <c r="D20" s="72"/>
      <c r="E20" s="72"/>
    </row>
    <row r="21" spans="1:6" ht="16.5" customHeight="1" x14ac:dyDescent="0.3">
      <c r="A21" s="7" t="s">
        <v>10</v>
      </c>
      <c r="B21" s="465">
        <f>B20/50*10/20</f>
        <v>0.16539999999999999</v>
      </c>
      <c r="C21" s="72"/>
      <c r="D21" s="72"/>
      <c r="E21" s="72"/>
    </row>
    <row r="22" spans="1:6" ht="15.75" customHeight="1" x14ac:dyDescent="0.25">
      <c r="A22" s="10"/>
      <c r="B22" s="72"/>
      <c r="C22" s="72"/>
      <c r="D22" s="72"/>
      <c r="E22" s="72"/>
    </row>
    <row r="23" spans="1:6" ht="16.5" customHeight="1" x14ac:dyDescent="0.3">
      <c r="A23" s="14" t="s">
        <v>12</v>
      </c>
      <c r="B23" s="15" t="s">
        <v>13</v>
      </c>
      <c r="C23" s="16" t="s">
        <v>14</v>
      </c>
      <c r="D23" s="16" t="s">
        <v>15</v>
      </c>
      <c r="E23" s="16" t="s">
        <v>16</v>
      </c>
    </row>
    <row r="24" spans="1:6" ht="16.5" customHeight="1" x14ac:dyDescent="0.3">
      <c r="A24" s="17">
        <v>1</v>
      </c>
      <c r="B24" s="18">
        <v>124494287</v>
      </c>
      <c r="C24" s="18">
        <v>7219.1</v>
      </c>
      <c r="D24" s="19">
        <v>0.9</v>
      </c>
      <c r="E24" s="20">
        <v>8</v>
      </c>
    </row>
    <row r="25" spans="1:6" ht="16.5" customHeight="1" x14ac:dyDescent="0.3">
      <c r="A25" s="17">
        <v>2</v>
      </c>
      <c r="B25" s="18">
        <v>124515508</v>
      </c>
      <c r="C25" s="18">
        <v>7110.8</v>
      </c>
      <c r="D25" s="19">
        <v>0.9</v>
      </c>
      <c r="E25" s="19">
        <v>8</v>
      </c>
    </row>
    <row r="26" spans="1:6" ht="16.5" customHeight="1" x14ac:dyDescent="0.3">
      <c r="A26" s="17">
        <v>3</v>
      </c>
      <c r="B26" s="18">
        <v>124690195</v>
      </c>
      <c r="C26" s="18">
        <v>7163.8</v>
      </c>
      <c r="D26" s="19">
        <v>0.9</v>
      </c>
      <c r="E26" s="19">
        <v>8</v>
      </c>
    </row>
    <row r="27" spans="1:6" ht="16.5" customHeight="1" x14ac:dyDescent="0.3">
      <c r="A27" s="17">
        <v>4</v>
      </c>
      <c r="B27" s="18">
        <v>124710354</v>
      </c>
      <c r="C27" s="18">
        <v>7165.5</v>
      </c>
      <c r="D27" s="19">
        <v>0.9</v>
      </c>
      <c r="E27" s="19">
        <v>8</v>
      </c>
    </row>
    <row r="28" spans="1:6" ht="16.5" customHeight="1" x14ac:dyDescent="0.3">
      <c r="A28" s="17">
        <v>5</v>
      </c>
      <c r="B28" s="18">
        <v>125055542</v>
      </c>
      <c r="C28" s="18">
        <v>7165</v>
      </c>
      <c r="D28" s="19">
        <v>0.9</v>
      </c>
      <c r="E28" s="19">
        <v>8</v>
      </c>
    </row>
    <row r="29" spans="1:6" ht="16.5" customHeight="1" x14ac:dyDescent="0.3">
      <c r="A29" s="17">
        <v>6</v>
      </c>
      <c r="B29" s="21">
        <v>125103762</v>
      </c>
      <c r="C29" s="21">
        <v>7148.2</v>
      </c>
      <c r="D29" s="22">
        <v>0.9</v>
      </c>
      <c r="E29" s="22">
        <v>8</v>
      </c>
    </row>
    <row r="30" spans="1:6" ht="16.5" customHeight="1" x14ac:dyDescent="0.3">
      <c r="A30" s="23" t="s">
        <v>17</v>
      </c>
      <c r="B30" s="24">
        <f>AVERAGE(B24:B29)</f>
        <v>124761608</v>
      </c>
      <c r="C30" s="25">
        <f>AVERAGE(C24:C29)</f>
        <v>7162.0666666666657</v>
      </c>
      <c r="D30" s="26">
        <f>AVERAGE(D24:D29)</f>
        <v>0.9</v>
      </c>
      <c r="E30" s="26">
        <f>AVERAGE(E24:E29)</f>
        <v>8</v>
      </c>
    </row>
    <row r="31" spans="1:6" ht="16.5" customHeight="1" x14ac:dyDescent="0.3">
      <c r="A31" s="27" t="s">
        <v>18</v>
      </c>
      <c r="B31" s="28">
        <f>(STDEV(B24:B29)/B30)</f>
        <v>2.100002156728053E-3</v>
      </c>
      <c r="C31" s="29"/>
      <c r="D31" s="29"/>
      <c r="E31" s="30"/>
      <c r="F31" s="2"/>
    </row>
    <row r="32" spans="1:6" s="2" customFormat="1" ht="16.5" customHeight="1" x14ac:dyDescent="0.3">
      <c r="A32" s="31" t="s">
        <v>19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20</v>
      </c>
      <c r="B34" s="37" t="s">
        <v>21</v>
      </c>
      <c r="C34" s="38"/>
      <c r="D34" s="38"/>
      <c r="E34" s="39"/>
    </row>
    <row r="35" spans="1:6" ht="16.5" customHeight="1" x14ac:dyDescent="0.3">
      <c r="A35" s="11"/>
      <c r="B35" s="37" t="s">
        <v>22</v>
      </c>
      <c r="C35" s="38"/>
      <c r="D35" s="38"/>
      <c r="E35" s="39"/>
      <c r="F35" s="2"/>
    </row>
    <row r="36" spans="1:6" ht="16.5" customHeight="1" x14ac:dyDescent="0.3">
      <c r="A36" s="11"/>
      <c r="B36" s="40" t="s">
        <v>23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24</v>
      </c>
    </row>
    <row r="39" spans="1:6" ht="16.5" customHeight="1" x14ac:dyDescent="0.3">
      <c r="A39" s="11" t="s">
        <v>4</v>
      </c>
      <c r="B39" s="8" t="s">
        <v>45</v>
      </c>
      <c r="C39" s="72"/>
      <c r="D39" s="72"/>
      <c r="E39" s="72"/>
    </row>
    <row r="40" spans="1:6" ht="16.5" customHeight="1" x14ac:dyDescent="0.3">
      <c r="A40" s="11" t="s">
        <v>6</v>
      </c>
      <c r="B40" s="12">
        <v>99.58</v>
      </c>
      <c r="C40" s="72"/>
      <c r="D40" s="72"/>
      <c r="E40" s="72"/>
    </row>
    <row r="41" spans="1:6" ht="16.5" customHeight="1" x14ac:dyDescent="0.3">
      <c r="A41" s="7" t="s">
        <v>8</v>
      </c>
      <c r="B41" s="12">
        <v>15.36</v>
      </c>
      <c r="C41" s="72"/>
      <c r="D41" s="72"/>
      <c r="E41" s="72"/>
    </row>
    <row r="42" spans="1:6" ht="16.5" customHeight="1" x14ac:dyDescent="0.3">
      <c r="A42" s="7" t="s">
        <v>10</v>
      </c>
      <c r="B42" s="13">
        <f>B41/25*15/50</f>
        <v>0.18431999999999998</v>
      </c>
      <c r="C42" s="72"/>
      <c r="D42" s="72"/>
      <c r="E42" s="72"/>
    </row>
    <row r="43" spans="1:6" ht="15.75" customHeight="1" x14ac:dyDescent="0.25">
      <c r="A43" s="10"/>
      <c r="B43" s="72"/>
      <c r="C43" s="72"/>
      <c r="D43" s="72"/>
      <c r="E43" s="72"/>
    </row>
    <row r="44" spans="1:6" ht="16.5" customHeight="1" x14ac:dyDescent="0.3">
      <c r="A44" s="14" t="s">
        <v>12</v>
      </c>
      <c r="B44" s="15" t="s">
        <v>13</v>
      </c>
      <c r="C44" s="16" t="s">
        <v>14</v>
      </c>
      <c r="D44" s="16" t="s">
        <v>15</v>
      </c>
      <c r="E44" s="16" t="s">
        <v>16</v>
      </c>
    </row>
    <row r="45" spans="1:6" ht="16.5" customHeight="1" x14ac:dyDescent="0.3">
      <c r="A45" s="17">
        <v>1</v>
      </c>
      <c r="B45" s="18">
        <v>166860905</v>
      </c>
      <c r="C45" s="18">
        <v>12818.7</v>
      </c>
      <c r="D45" s="19">
        <v>0.94</v>
      </c>
      <c r="E45" s="20">
        <v>8.25</v>
      </c>
    </row>
    <row r="46" spans="1:6" ht="16.5" customHeight="1" x14ac:dyDescent="0.3">
      <c r="A46" s="17">
        <v>2</v>
      </c>
      <c r="B46" s="18">
        <v>167257560</v>
      </c>
      <c r="C46" s="18">
        <v>12817.5</v>
      </c>
      <c r="D46" s="19">
        <v>0.95</v>
      </c>
      <c r="E46" s="19">
        <v>8.26</v>
      </c>
    </row>
    <row r="47" spans="1:6" ht="16.5" customHeight="1" x14ac:dyDescent="0.3">
      <c r="A47" s="17">
        <v>3</v>
      </c>
      <c r="B47" s="18">
        <v>167616800</v>
      </c>
      <c r="C47" s="18">
        <v>12854.3</v>
      </c>
      <c r="D47" s="19">
        <v>0.95</v>
      </c>
      <c r="E47" s="19">
        <v>8.27</v>
      </c>
    </row>
    <row r="48" spans="1:6" ht="16.5" customHeight="1" x14ac:dyDescent="0.3">
      <c r="A48" s="17">
        <v>4</v>
      </c>
      <c r="B48" s="18">
        <v>167556802</v>
      </c>
      <c r="C48" s="18">
        <v>12875.3</v>
      </c>
      <c r="D48" s="19">
        <v>0.94</v>
      </c>
      <c r="E48" s="19">
        <v>8.27</v>
      </c>
    </row>
    <row r="49" spans="1:7" ht="16.5" customHeight="1" x14ac:dyDescent="0.3">
      <c r="A49" s="17">
        <v>5</v>
      </c>
      <c r="B49" s="18">
        <v>167712293</v>
      </c>
      <c r="C49" s="18">
        <v>12920.2</v>
      </c>
      <c r="D49" s="19">
        <v>0.94</v>
      </c>
      <c r="E49" s="19">
        <v>8.27</v>
      </c>
    </row>
    <row r="50" spans="1:7" ht="16.5" customHeight="1" x14ac:dyDescent="0.3">
      <c r="A50" s="17">
        <v>6</v>
      </c>
      <c r="B50" s="21">
        <v>167869753</v>
      </c>
      <c r="C50" s="21">
        <v>12901.6</v>
      </c>
      <c r="D50" s="22">
        <v>0.96</v>
      </c>
      <c r="E50" s="22">
        <v>8.27</v>
      </c>
    </row>
    <row r="51" spans="1:7" ht="16.5" customHeight="1" x14ac:dyDescent="0.3">
      <c r="A51" s="23" t="s">
        <v>17</v>
      </c>
      <c r="B51" s="24">
        <f>AVERAGE(B45:B50)</f>
        <v>167479018.83333334</v>
      </c>
      <c r="C51" s="25">
        <f>AVERAGE(C45:C50)</f>
        <v>12864.6</v>
      </c>
      <c r="D51" s="26">
        <f>AVERAGE(D45:D50)</f>
        <v>0.94666666666666666</v>
      </c>
      <c r="E51" s="26">
        <f>AVERAGE(E45:E50)</f>
        <v>8.2649999999999988</v>
      </c>
    </row>
    <row r="52" spans="1:7" ht="16.5" customHeight="1" x14ac:dyDescent="0.3">
      <c r="A52" s="27" t="s">
        <v>18</v>
      </c>
      <c r="B52" s="28">
        <f>(STDEV(B45:B50)/B51)</f>
        <v>2.1746407895449891E-3</v>
      </c>
      <c r="C52" s="29"/>
      <c r="D52" s="29"/>
      <c r="E52" s="30"/>
      <c r="F52" s="2"/>
    </row>
    <row r="53" spans="1:7" s="2" customFormat="1" ht="16.5" customHeight="1" x14ac:dyDescent="0.3">
      <c r="A53" s="31" t="s">
        <v>19</v>
      </c>
      <c r="B53" s="32">
        <f>COUNT(B45:B50)</f>
        <v>6</v>
      </c>
      <c r="C53" s="33"/>
      <c r="D53" s="73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20</v>
      </c>
      <c r="B55" s="37" t="s">
        <v>21</v>
      </c>
      <c r="C55" s="38"/>
      <c r="D55" s="38"/>
      <c r="E55" s="39"/>
    </row>
    <row r="56" spans="1:7" ht="16.5" customHeight="1" x14ac:dyDescent="0.3">
      <c r="A56" s="11"/>
      <c r="B56" s="37" t="s">
        <v>22</v>
      </c>
      <c r="C56" s="38"/>
      <c r="D56" s="38"/>
      <c r="E56" s="39"/>
      <c r="F56" s="2"/>
    </row>
    <row r="57" spans="1:7" ht="16.5" customHeight="1" x14ac:dyDescent="0.3">
      <c r="A57" s="11"/>
      <c r="B57" s="40" t="s">
        <v>23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467" t="s">
        <v>25</v>
      </c>
      <c r="C59" s="467"/>
      <c r="E59" s="45" t="s">
        <v>26</v>
      </c>
      <c r="F59" s="46"/>
      <c r="G59" s="45" t="s">
        <v>27</v>
      </c>
    </row>
    <row r="60" spans="1:7" ht="15" customHeight="1" x14ac:dyDescent="0.3">
      <c r="A60" s="47" t="s">
        <v>28</v>
      </c>
      <c r="B60" s="48"/>
      <c r="C60" s="48"/>
      <c r="E60" s="48"/>
      <c r="F60" s="2"/>
      <c r="G60" s="49"/>
    </row>
    <row r="61" spans="1:7" ht="15" customHeight="1" x14ac:dyDescent="0.3">
      <c r="A61" s="47" t="s">
        <v>29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28" workbookViewId="0">
      <selection activeCell="D44" sqref="D44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471" t="s">
        <v>30</v>
      </c>
      <c r="B11" s="472"/>
      <c r="C11" s="472"/>
      <c r="D11" s="472"/>
      <c r="E11" s="472"/>
      <c r="F11" s="473"/>
      <c r="G11" s="91"/>
    </row>
    <row r="12" spans="1:7" ht="16.5" customHeight="1" x14ac:dyDescent="0.3">
      <c r="A12" s="470" t="s">
        <v>31</v>
      </c>
      <c r="B12" s="470"/>
      <c r="C12" s="470"/>
      <c r="D12" s="470"/>
      <c r="E12" s="470"/>
      <c r="F12" s="470"/>
      <c r="G12" s="90"/>
    </row>
    <row r="14" spans="1:7" ht="16.5" customHeight="1" x14ac:dyDescent="0.3">
      <c r="A14" s="475" t="s">
        <v>32</v>
      </c>
      <c r="B14" s="475"/>
      <c r="C14" s="60" t="s">
        <v>5</v>
      </c>
    </row>
    <row r="15" spans="1:7" ht="16.5" customHeight="1" x14ac:dyDescent="0.3">
      <c r="A15" s="475" t="s">
        <v>33</v>
      </c>
      <c r="B15" s="475"/>
      <c r="C15" s="60" t="s">
        <v>7</v>
      </c>
    </row>
    <row r="16" spans="1:7" ht="16.5" customHeight="1" x14ac:dyDescent="0.3">
      <c r="A16" s="475" t="s">
        <v>34</v>
      </c>
      <c r="B16" s="475"/>
      <c r="C16" s="60" t="s">
        <v>9</v>
      </c>
    </row>
    <row r="17" spans="1:5" ht="16.5" customHeight="1" x14ac:dyDescent="0.3">
      <c r="A17" s="475" t="s">
        <v>35</v>
      </c>
      <c r="B17" s="475"/>
      <c r="C17" s="60" t="s">
        <v>9</v>
      </c>
    </row>
    <row r="18" spans="1:5" ht="16.5" customHeight="1" x14ac:dyDescent="0.3">
      <c r="A18" s="475" t="s">
        <v>36</v>
      </c>
      <c r="B18" s="475"/>
      <c r="C18" s="97" t="s">
        <v>11</v>
      </c>
    </row>
    <row r="19" spans="1:5" ht="16.5" customHeight="1" x14ac:dyDescent="0.3">
      <c r="A19" s="475" t="s">
        <v>37</v>
      </c>
      <c r="B19" s="475"/>
      <c r="C19" s="97" t="e">
        <f>#REF!</f>
        <v>#REF!</v>
      </c>
    </row>
    <row r="20" spans="1:5" ht="16.5" customHeight="1" x14ac:dyDescent="0.3">
      <c r="A20" s="62"/>
      <c r="B20" s="62"/>
      <c r="C20" s="77"/>
    </row>
    <row r="21" spans="1:5" ht="16.5" customHeight="1" x14ac:dyDescent="0.3">
      <c r="A21" s="470" t="s">
        <v>1</v>
      </c>
      <c r="B21" s="470"/>
      <c r="C21" s="59" t="s">
        <v>38</v>
      </c>
      <c r="D21" s="66"/>
    </row>
    <row r="22" spans="1:5" ht="15.75" customHeight="1" x14ac:dyDescent="0.3">
      <c r="A22" s="474"/>
      <c r="B22" s="474"/>
      <c r="C22" s="57"/>
      <c r="D22" s="474"/>
      <c r="E22" s="474"/>
    </row>
    <row r="23" spans="1:5" ht="33.75" customHeight="1" x14ac:dyDescent="0.3">
      <c r="C23" s="86" t="s">
        <v>39</v>
      </c>
      <c r="D23" s="85" t="s">
        <v>40</v>
      </c>
      <c r="E23" s="52"/>
    </row>
    <row r="24" spans="1:5" ht="15.75" customHeight="1" x14ac:dyDescent="0.3">
      <c r="C24" s="95">
        <v>1039.93</v>
      </c>
      <c r="D24" s="87">
        <f t="shared" ref="D24:D43" si="0">(C24-$C$46)/$C$46</f>
        <v>-3.7920716628262355E-3</v>
      </c>
      <c r="E24" s="53"/>
    </row>
    <row r="25" spans="1:5" ht="15.75" customHeight="1" x14ac:dyDescent="0.3">
      <c r="C25" s="95">
        <v>1040.0899999999999</v>
      </c>
      <c r="D25" s="88">
        <f t="shared" si="0"/>
        <v>-3.6387985881637074E-3</v>
      </c>
      <c r="E25" s="53"/>
    </row>
    <row r="26" spans="1:5" ht="15.75" customHeight="1" x14ac:dyDescent="0.3">
      <c r="C26" s="95">
        <v>1044.78</v>
      </c>
      <c r="D26" s="88">
        <f t="shared" si="0"/>
        <v>8.5401841288578547E-4</v>
      </c>
      <c r="E26" s="53"/>
    </row>
    <row r="27" spans="1:5" ht="15.75" customHeight="1" x14ac:dyDescent="0.3">
      <c r="C27" s="95">
        <v>1049.17</v>
      </c>
      <c r="D27" s="88">
        <f t="shared" si="0"/>
        <v>5.05944839894282E-3</v>
      </c>
      <c r="E27" s="53"/>
    </row>
    <row r="28" spans="1:5" ht="15.75" customHeight="1" x14ac:dyDescent="0.3">
      <c r="C28" s="95">
        <v>1049.51</v>
      </c>
      <c r="D28" s="88">
        <f t="shared" si="0"/>
        <v>5.38515368260091E-3</v>
      </c>
      <c r="E28" s="53"/>
    </row>
    <row r="29" spans="1:5" ht="15.75" customHeight="1" x14ac:dyDescent="0.3">
      <c r="C29" s="95">
        <v>1046.92</v>
      </c>
      <c r="D29" s="88">
        <f t="shared" si="0"/>
        <v>2.9040457864990591E-3</v>
      </c>
      <c r="E29" s="53"/>
    </row>
    <row r="30" spans="1:5" ht="15.75" customHeight="1" x14ac:dyDescent="0.3">
      <c r="C30" s="95">
        <v>1044.73</v>
      </c>
      <c r="D30" s="88">
        <f t="shared" si="0"/>
        <v>8.0612057705374551E-4</v>
      </c>
      <c r="E30" s="53"/>
    </row>
    <row r="31" spans="1:5" ht="15.75" customHeight="1" x14ac:dyDescent="0.3">
      <c r="C31" s="95">
        <v>1044.1199999999999</v>
      </c>
      <c r="D31" s="88">
        <f t="shared" si="0"/>
        <v>2.2176697990220374E-4</v>
      </c>
      <c r="E31" s="53"/>
    </row>
    <row r="32" spans="1:5" ht="15.75" customHeight="1" x14ac:dyDescent="0.3">
      <c r="C32" s="95">
        <v>1048.05</v>
      </c>
      <c r="D32" s="88">
        <f t="shared" si="0"/>
        <v>3.9865368763040343E-3</v>
      </c>
      <c r="E32" s="53"/>
    </row>
    <row r="33" spans="1:7" ht="15.75" customHeight="1" x14ac:dyDescent="0.3">
      <c r="C33" s="95">
        <v>1045.02</v>
      </c>
      <c r="D33" s="88">
        <f t="shared" si="0"/>
        <v>1.0839280248797953E-3</v>
      </c>
      <c r="E33" s="53"/>
    </row>
    <row r="34" spans="1:7" ht="15.75" customHeight="1" x14ac:dyDescent="0.3">
      <c r="C34" s="95">
        <v>1039.76</v>
      </c>
      <c r="D34" s="88">
        <f t="shared" si="0"/>
        <v>-3.9549243046553889E-3</v>
      </c>
      <c r="E34" s="53"/>
    </row>
    <row r="35" spans="1:7" ht="15.75" customHeight="1" x14ac:dyDescent="0.3">
      <c r="C35" s="95">
        <v>1035.51</v>
      </c>
      <c r="D35" s="88">
        <f t="shared" si="0"/>
        <v>-8.0262403503824943E-3</v>
      </c>
      <c r="E35" s="53"/>
    </row>
    <row r="36" spans="1:7" ht="15.75" customHeight="1" x14ac:dyDescent="0.3">
      <c r="C36" s="95">
        <v>1046.9000000000001</v>
      </c>
      <c r="D36" s="88">
        <f t="shared" si="0"/>
        <v>2.884886652166243E-3</v>
      </c>
      <c r="E36" s="53"/>
    </row>
    <row r="37" spans="1:7" ht="15.75" customHeight="1" x14ac:dyDescent="0.3">
      <c r="C37" s="95">
        <v>1050.1099999999999</v>
      </c>
      <c r="D37" s="88">
        <f t="shared" si="0"/>
        <v>5.9599277125858266E-3</v>
      </c>
      <c r="E37" s="53"/>
    </row>
    <row r="38" spans="1:7" ht="15.75" customHeight="1" x14ac:dyDescent="0.3">
      <c r="C38" s="95">
        <v>1048.3399999999999</v>
      </c>
      <c r="D38" s="88">
        <f t="shared" si="0"/>
        <v>4.2643443241300845E-3</v>
      </c>
      <c r="E38" s="53"/>
    </row>
    <row r="39" spans="1:7" ht="15.75" customHeight="1" x14ac:dyDescent="0.3">
      <c r="C39" s="95">
        <v>1044.1500000000001</v>
      </c>
      <c r="D39" s="88">
        <f t="shared" si="0"/>
        <v>2.5050568140164554E-4</v>
      </c>
      <c r="E39" s="53"/>
    </row>
    <row r="40" spans="1:7" ht="15.75" customHeight="1" x14ac:dyDescent="0.3">
      <c r="C40" s="95">
        <v>1043.1300000000001</v>
      </c>
      <c r="D40" s="88">
        <f t="shared" si="0"/>
        <v>-7.2661016957284224E-4</v>
      </c>
      <c r="E40" s="53"/>
    </row>
    <row r="41" spans="1:7" ht="15.75" customHeight="1" x14ac:dyDescent="0.3">
      <c r="C41" s="95">
        <v>1038.6300000000001</v>
      </c>
      <c r="D41" s="88">
        <f t="shared" si="0"/>
        <v>-5.0374153944603654E-3</v>
      </c>
      <c r="E41" s="53"/>
    </row>
    <row r="42" spans="1:7" ht="15.75" customHeight="1" x14ac:dyDescent="0.3">
      <c r="C42" s="95">
        <v>1039.1500000000001</v>
      </c>
      <c r="D42" s="88">
        <f t="shared" si="0"/>
        <v>-4.5392779018067131E-3</v>
      </c>
      <c r="E42" s="53"/>
    </row>
    <row r="43" spans="1:7" ht="16.5" customHeight="1" x14ac:dyDescent="0.3">
      <c r="C43" s="96">
        <v>1039.77</v>
      </c>
      <c r="D43" s="89">
        <f t="shared" si="0"/>
        <v>-3.9453447374889813E-3</v>
      </c>
      <c r="E43" s="53"/>
    </row>
    <row r="44" spans="1:7" ht="16.5" customHeight="1" x14ac:dyDescent="0.3">
      <c r="C44" s="54"/>
      <c r="D44" s="53"/>
      <c r="E44" s="55"/>
    </row>
    <row r="45" spans="1:7" ht="16.5" customHeight="1" x14ac:dyDescent="0.3">
      <c r="B45" s="82" t="s">
        <v>41</v>
      </c>
      <c r="C45" s="83">
        <f>SUM(C24:C44)</f>
        <v>20877.770000000004</v>
      </c>
      <c r="D45" s="78"/>
      <c r="E45" s="54"/>
    </row>
    <row r="46" spans="1:7" ht="17.25" customHeight="1" x14ac:dyDescent="0.3">
      <c r="B46" s="82" t="s">
        <v>42</v>
      </c>
      <c r="C46" s="84">
        <f>AVERAGE(C24:C44)</f>
        <v>1043.8885000000002</v>
      </c>
      <c r="E46" s="56"/>
    </row>
    <row r="47" spans="1:7" ht="17.25" customHeight="1" x14ac:dyDescent="0.3">
      <c r="A47" s="60"/>
      <c r="B47" s="79"/>
      <c r="D47" s="58"/>
      <c r="E47" s="56"/>
    </row>
    <row r="48" spans="1:7" ht="33.75" customHeight="1" x14ac:dyDescent="0.3">
      <c r="B48" s="92" t="s">
        <v>42</v>
      </c>
      <c r="C48" s="85" t="s">
        <v>43</v>
      </c>
      <c r="D48" s="80"/>
      <c r="G48" s="58"/>
    </row>
    <row r="49" spans="1:6" ht="17.25" customHeight="1" x14ac:dyDescent="0.3">
      <c r="B49" s="468">
        <f>C46</f>
        <v>1043.8885000000002</v>
      </c>
      <c r="C49" s="93">
        <f>-IF(C46&lt;=80,10%,IF(C46&lt;250,7.5%,5%))</f>
        <v>-0.05</v>
      </c>
      <c r="D49" s="81">
        <f>IF(C46&lt;=80,C46*0.9,IF(C46&lt;250,C46*0.925,C46*0.95))</f>
        <v>991.69407500000023</v>
      </c>
    </row>
    <row r="50" spans="1:6" ht="17.25" customHeight="1" x14ac:dyDescent="0.3">
      <c r="B50" s="469"/>
      <c r="C50" s="94">
        <f>IF(C46&lt;=80, 10%, IF(C46&lt;250, 7.5%, 5%))</f>
        <v>0.05</v>
      </c>
      <c r="D50" s="81">
        <f>IF(C46&lt;=80, C46*1.1, IF(C46&lt;250, C46*1.075, C46*1.05))</f>
        <v>1096.0829250000004</v>
      </c>
    </row>
    <row r="51" spans="1:6" ht="16.5" customHeight="1" x14ac:dyDescent="0.3">
      <c r="A51" s="63"/>
      <c r="B51" s="64"/>
      <c r="C51" s="60"/>
      <c r="D51" s="65"/>
      <c r="E51" s="60"/>
      <c r="F51" s="66"/>
    </row>
    <row r="52" spans="1:6" ht="16.5" customHeight="1" x14ac:dyDescent="0.3">
      <c r="A52" s="60"/>
      <c r="B52" s="67" t="s">
        <v>25</v>
      </c>
      <c r="C52" s="67"/>
      <c r="D52" s="68" t="s">
        <v>26</v>
      </c>
      <c r="E52" s="69"/>
      <c r="F52" s="68" t="s">
        <v>27</v>
      </c>
    </row>
    <row r="53" spans="1:6" ht="34.5" customHeight="1" x14ac:dyDescent="0.3">
      <c r="A53" s="70" t="s">
        <v>28</v>
      </c>
      <c r="B53" s="71"/>
      <c r="C53" s="72"/>
      <c r="D53" s="71"/>
      <c r="E53" s="61"/>
      <c r="F53" s="73"/>
    </row>
    <row r="54" spans="1:6" ht="34.5" customHeight="1" x14ac:dyDescent="0.3">
      <c r="A54" s="70" t="s">
        <v>29</v>
      </c>
      <c r="B54" s="74"/>
      <c r="C54" s="75"/>
      <c r="D54" s="74"/>
      <c r="E54" s="61"/>
      <c r="F54" s="76"/>
    </row>
  </sheetData>
  <sheetProtection formatCells="0" formatColumns="0" formatRows="0" insertColumns="0" insertRows="0" insertHyperlinks="0" deleteColumns="0" deleteRows="0" sort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36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35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34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33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32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31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30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29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28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7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26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25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24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23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22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21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20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19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18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7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16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5:N250"/>
  <sheetViews>
    <sheetView view="pageBreakPreview" topLeftCell="B1" zoomScale="60" zoomScaleNormal="60" workbookViewId="0">
      <selection activeCell="G116" sqref="G116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5" spans="1:8" ht="19.5" customHeight="1" x14ac:dyDescent="0.3">
      <c r="A15" s="98"/>
    </row>
    <row r="16" spans="1:8" ht="19.5" customHeight="1" x14ac:dyDescent="0.3">
      <c r="A16" s="508" t="s">
        <v>30</v>
      </c>
      <c r="B16" s="509"/>
      <c r="C16" s="509"/>
      <c r="D16" s="509"/>
      <c r="E16" s="509"/>
      <c r="F16" s="509"/>
      <c r="G16" s="509"/>
      <c r="H16" s="510"/>
    </row>
    <row r="17" spans="1:14" ht="20.25" customHeight="1" x14ac:dyDescent="0.25">
      <c r="A17" s="511" t="s">
        <v>44</v>
      </c>
      <c r="B17" s="511"/>
      <c r="C17" s="511"/>
      <c r="D17" s="511"/>
      <c r="E17" s="511"/>
      <c r="F17" s="511"/>
      <c r="G17" s="511"/>
      <c r="H17" s="511"/>
    </row>
    <row r="18" spans="1:14" ht="26.25" customHeight="1" x14ac:dyDescent="0.4">
      <c r="A18" s="100" t="s">
        <v>32</v>
      </c>
      <c r="B18" s="507" t="s">
        <v>5</v>
      </c>
      <c r="C18" s="507"/>
      <c r="D18" s="280"/>
      <c r="E18" s="101"/>
      <c r="F18" s="102"/>
      <c r="G18" s="102"/>
      <c r="H18" s="102"/>
    </row>
    <row r="19" spans="1:14" ht="26.25" customHeight="1" x14ac:dyDescent="0.4">
      <c r="A19" s="100" t="s">
        <v>33</v>
      </c>
      <c r="B19" s="103" t="s">
        <v>7</v>
      </c>
      <c r="C19" s="102">
        <v>1</v>
      </c>
      <c r="D19" s="102"/>
      <c r="E19" s="102"/>
      <c r="F19" s="102"/>
      <c r="G19" s="102"/>
      <c r="H19" s="102"/>
    </row>
    <row r="20" spans="1:14" ht="26.25" customHeight="1" x14ac:dyDescent="0.4">
      <c r="A20" s="100" t="s">
        <v>34</v>
      </c>
      <c r="B20" s="512" t="s">
        <v>9</v>
      </c>
      <c r="C20" s="512"/>
      <c r="D20" s="102"/>
      <c r="E20" s="102"/>
      <c r="F20" s="102"/>
      <c r="G20" s="102"/>
      <c r="H20" s="102"/>
    </row>
    <row r="21" spans="1:14" ht="26.25" customHeight="1" x14ac:dyDescent="0.4">
      <c r="A21" s="100" t="s">
        <v>35</v>
      </c>
      <c r="B21" s="512" t="s">
        <v>9</v>
      </c>
      <c r="C21" s="512"/>
      <c r="D21" s="512"/>
      <c r="E21" s="512"/>
      <c r="F21" s="512"/>
      <c r="G21" s="512"/>
      <c r="H21" s="512"/>
      <c r="I21" s="104"/>
    </row>
    <row r="22" spans="1:14" ht="26.25" customHeight="1" x14ac:dyDescent="0.4">
      <c r="A22" s="100" t="s">
        <v>36</v>
      </c>
      <c r="B22" s="105" t="s">
        <v>123</v>
      </c>
      <c r="C22" s="102"/>
      <c r="D22" s="102"/>
      <c r="E22" s="102"/>
      <c r="F22" s="102"/>
      <c r="G22" s="102"/>
      <c r="H22" s="102"/>
    </row>
    <row r="23" spans="1:14" ht="26.25" customHeight="1" x14ac:dyDescent="0.4">
      <c r="A23" s="100" t="s">
        <v>37</v>
      </c>
      <c r="B23" s="105"/>
      <c r="C23" s="102"/>
      <c r="D23" s="102"/>
      <c r="E23" s="102"/>
      <c r="F23" s="102"/>
      <c r="G23" s="102"/>
      <c r="H23" s="102"/>
    </row>
    <row r="24" spans="1:14" ht="18.75" x14ac:dyDescent="0.3">
      <c r="A24" s="100"/>
      <c r="B24" s="106"/>
    </row>
    <row r="25" spans="1:14" ht="18.75" x14ac:dyDescent="0.3">
      <c r="A25" s="107" t="s">
        <v>1</v>
      </c>
      <c r="B25" s="106"/>
    </row>
    <row r="26" spans="1:14" ht="26.25" customHeight="1" x14ac:dyDescent="0.4">
      <c r="A26" s="108" t="s">
        <v>4</v>
      </c>
      <c r="B26" s="507" t="s">
        <v>45</v>
      </c>
      <c r="C26" s="507"/>
    </row>
    <row r="27" spans="1:14" ht="26.25" customHeight="1" x14ac:dyDescent="0.4">
      <c r="A27" s="109" t="s">
        <v>46</v>
      </c>
      <c r="B27" s="505" t="s">
        <v>126</v>
      </c>
      <c r="C27" s="505"/>
    </row>
    <row r="28" spans="1:14" ht="27" customHeight="1" x14ac:dyDescent="0.4">
      <c r="A28" s="109" t="s">
        <v>6</v>
      </c>
      <c r="B28" s="110">
        <v>99.58</v>
      </c>
    </row>
    <row r="29" spans="1:14" s="14" customFormat="1" ht="27" customHeight="1" x14ac:dyDescent="0.4">
      <c r="A29" s="109" t="s">
        <v>47</v>
      </c>
      <c r="B29" s="111">
        <v>0</v>
      </c>
      <c r="C29" s="482" t="s">
        <v>48</v>
      </c>
      <c r="D29" s="483"/>
      <c r="E29" s="483"/>
      <c r="F29" s="483"/>
      <c r="G29" s="484"/>
      <c r="I29" s="112"/>
      <c r="J29" s="112"/>
      <c r="K29" s="112"/>
      <c r="L29" s="112"/>
    </row>
    <row r="30" spans="1:14" s="14" customFormat="1" ht="19.5" customHeight="1" x14ac:dyDescent="0.3">
      <c r="A30" s="109" t="s">
        <v>49</v>
      </c>
      <c r="B30" s="113">
        <f>B28-B29</f>
        <v>99.58</v>
      </c>
      <c r="C30" s="114"/>
      <c r="D30" s="114"/>
      <c r="E30" s="114"/>
      <c r="F30" s="114"/>
      <c r="G30" s="115"/>
      <c r="I30" s="112"/>
      <c r="J30" s="112"/>
      <c r="K30" s="112"/>
      <c r="L30" s="112"/>
    </row>
    <row r="31" spans="1:14" s="14" customFormat="1" ht="27" customHeight="1" x14ac:dyDescent="0.4">
      <c r="A31" s="109" t="s">
        <v>50</v>
      </c>
      <c r="B31" s="116">
        <v>1</v>
      </c>
      <c r="C31" s="485" t="s">
        <v>51</v>
      </c>
      <c r="D31" s="486"/>
      <c r="E31" s="486"/>
      <c r="F31" s="486"/>
      <c r="G31" s="486"/>
      <c r="H31" s="487"/>
      <c r="I31" s="112"/>
      <c r="J31" s="112"/>
      <c r="K31" s="112"/>
      <c r="L31" s="112"/>
    </row>
    <row r="32" spans="1:14" s="14" customFormat="1" ht="27" customHeight="1" x14ac:dyDescent="0.4">
      <c r="A32" s="109" t="s">
        <v>52</v>
      </c>
      <c r="B32" s="116">
        <v>1</v>
      </c>
      <c r="C32" s="485" t="s">
        <v>53</v>
      </c>
      <c r="D32" s="486"/>
      <c r="E32" s="486"/>
      <c r="F32" s="486"/>
      <c r="G32" s="486"/>
      <c r="H32" s="487"/>
      <c r="I32" s="112"/>
      <c r="J32" s="112"/>
      <c r="K32" s="112"/>
      <c r="L32" s="117"/>
      <c r="M32" s="117"/>
      <c r="N32" s="118"/>
    </row>
    <row r="33" spans="1:14" s="14" customFormat="1" ht="17.25" customHeight="1" x14ac:dyDescent="0.3">
      <c r="A33" s="109"/>
      <c r="B33" s="119"/>
      <c r="C33" s="120"/>
      <c r="D33" s="120"/>
      <c r="E33" s="120"/>
      <c r="F33" s="120"/>
      <c r="G33" s="120"/>
      <c r="H33" s="120"/>
      <c r="I33" s="112"/>
      <c r="J33" s="112"/>
      <c r="K33" s="112"/>
      <c r="L33" s="117"/>
      <c r="M33" s="117"/>
      <c r="N33" s="118"/>
    </row>
    <row r="34" spans="1:14" s="14" customFormat="1" ht="18.75" x14ac:dyDescent="0.3">
      <c r="A34" s="109" t="s">
        <v>54</v>
      </c>
      <c r="B34" s="121">
        <f>B31/B32</f>
        <v>1</v>
      </c>
      <c r="C34" s="99" t="s">
        <v>55</v>
      </c>
      <c r="D34" s="99"/>
      <c r="E34" s="99"/>
      <c r="F34" s="99"/>
      <c r="G34" s="99"/>
      <c r="I34" s="112"/>
      <c r="J34" s="112"/>
      <c r="K34" s="112"/>
      <c r="L34" s="117"/>
      <c r="M34" s="117"/>
      <c r="N34" s="118"/>
    </row>
    <row r="35" spans="1:14" s="14" customFormat="1" ht="19.5" customHeight="1" x14ac:dyDescent="0.3">
      <c r="A35" s="109"/>
      <c r="B35" s="113"/>
      <c r="G35" s="99"/>
      <c r="I35" s="112"/>
      <c r="J35" s="112"/>
      <c r="K35" s="112"/>
      <c r="L35" s="117"/>
      <c r="M35" s="117"/>
      <c r="N35" s="118"/>
    </row>
    <row r="36" spans="1:14" s="14" customFormat="1" ht="27" customHeight="1" x14ac:dyDescent="0.4">
      <c r="A36" s="122" t="s">
        <v>56</v>
      </c>
      <c r="B36" s="123">
        <v>50</v>
      </c>
      <c r="C36" s="99"/>
      <c r="D36" s="488" t="s">
        <v>57</v>
      </c>
      <c r="E36" s="506"/>
      <c r="F36" s="488" t="s">
        <v>58</v>
      </c>
      <c r="G36" s="489"/>
      <c r="J36" s="112"/>
      <c r="K36" s="112"/>
      <c r="L36" s="117"/>
      <c r="M36" s="117"/>
      <c r="N36" s="118"/>
    </row>
    <row r="37" spans="1:14" s="14" customFormat="1" ht="27" customHeight="1" x14ac:dyDescent="0.4">
      <c r="A37" s="124" t="s">
        <v>59</v>
      </c>
      <c r="B37" s="125">
        <v>10</v>
      </c>
      <c r="C37" s="126" t="s">
        <v>60</v>
      </c>
      <c r="D37" s="127" t="s">
        <v>61</v>
      </c>
      <c r="E37" s="128" t="s">
        <v>62</v>
      </c>
      <c r="F37" s="127" t="s">
        <v>61</v>
      </c>
      <c r="G37" s="129" t="s">
        <v>62</v>
      </c>
      <c r="I37" s="130" t="s">
        <v>63</v>
      </c>
      <c r="J37" s="112"/>
      <c r="K37" s="112"/>
      <c r="L37" s="117"/>
      <c r="M37" s="117"/>
      <c r="N37" s="118"/>
    </row>
    <row r="38" spans="1:14" s="14" customFormat="1" ht="26.25" customHeight="1" x14ac:dyDescent="0.4">
      <c r="A38" s="124" t="s">
        <v>64</v>
      </c>
      <c r="B38" s="125">
        <v>20</v>
      </c>
      <c r="C38" s="131">
        <v>1</v>
      </c>
      <c r="D38" s="132">
        <v>125159327</v>
      </c>
      <c r="E38" s="133">
        <f>IF(ISBLANK(D38),"-",$D$48/$D$45*D38)</f>
        <v>121583761.35027091</v>
      </c>
      <c r="F38" s="315">
        <v>136444256</v>
      </c>
      <c r="G38" s="134">
        <f>IF(ISBLANK(F38),"-",$D$48/$F$45*F38)</f>
        <v>121727696.97136635</v>
      </c>
      <c r="I38" s="135"/>
      <c r="J38" s="112"/>
      <c r="K38" s="112"/>
      <c r="L38" s="117"/>
      <c r="M38" s="117"/>
      <c r="N38" s="118"/>
    </row>
    <row r="39" spans="1:14" s="14" customFormat="1" ht="26.25" customHeight="1" x14ac:dyDescent="0.4">
      <c r="A39" s="124" t="s">
        <v>65</v>
      </c>
      <c r="B39" s="125">
        <v>1</v>
      </c>
      <c r="C39" s="136">
        <v>2</v>
      </c>
      <c r="D39" s="137">
        <v>125240612</v>
      </c>
      <c r="E39" s="138">
        <f>IF(ISBLANK(D39),"-",$D$48/$D$45*D39)</f>
        <v>121662724.19130118</v>
      </c>
      <c r="F39" s="320">
        <v>136489507</v>
      </c>
      <c r="G39" s="139">
        <f>IF(ISBLANK(F39),"-",$D$48/$F$45*F39)</f>
        <v>121768067.30410978</v>
      </c>
      <c r="I39" s="490">
        <f>ABS((F43/D43*D42)-F42)/D42</f>
        <v>1.7446153299057975E-3</v>
      </c>
      <c r="J39" s="112"/>
      <c r="K39" s="112"/>
      <c r="L39" s="117"/>
      <c r="M39" s="117"/>
      <c r="N39" s="118"/>
    </row>
    <row r="40" spans="1:14" ht="26.25" customHeight="1" x14ac:dyDescent="0.4">
      <c r="A40" s="124" t="s">
        <v>66</v>
      </c>
      <c r="B40" s="125">
        <v>1</v>
      </c>
      <c r="C40" s="136">
        <v>3</v>
      </c>
      <c r="D40" s="137">
        <v>125048816</v>
      </c>
      <c r="E40" s="138">
        <f>IF(ISBLANK(D40),"-",$D$48/$D$45*D40)</f>
        <v>121476407.44087684</v>
      </c>
      <c r="F40" s="320">
        <v>136538184</v>
      </c>
      <c r="G40" s="139">
        <f>IF(ISBLANK(F40),"-",$D$48/$F$45*F40)</f>
        <v>121811494.11648858</v>
      </c>
      <c r="I40" s="490"/>
      <c r="L40" s="117"/>
      <c r="M40" s="117"/>
      <c r="N40" s="140"/>
    </row>
    <row r="41" spans="1:14" ht="27" customHeight="1" x14ac:dyDescent="0.4">
      <c r="A41" s="124" t="s">
        <v>67</v>
      </c>
      <c r="B41" s="125">
        <v>1</v>
      </c>
      <c r="C41" s="141">
        <v>4</v>
      </c>
      <c r="D41" s="142"/>
      <c r="E41" s="143" t="str">
        <f>IF(ISBLANK(D41),"-",$D$48/$D$45*D41)</f>
        <v>-</v>
      </c>
      <c r="F41" s="142"/>
      <c r="G41" s="144" t="str">
        <f>IF(ISBLANK(F41),"-",$D$48/$F$45*F41)</f>
        <v>-</v>
      </c>
      <c r="I41" s="145"/>
      <c r="L41" s="117"/>
      <c r="M41" s="117"/>
      <c r="N41" s="140"/>
    </row>
    <row r="42" spans="1:14" ht="27" customHeight="1" x14ac:dyDescent="0.4">
      <c r="A42" s="124" t="s">
        <v>68</v>
      </c>
      <c r="B42" s="125">
        <v>1</v>
      </c>
      <c r="C42" s="146" t="s">
        <v>69</v>
      </c>
      <c r="D42" s="147">
        <f>AVERAGE(D38:D41)</f>
        <v>125149585</v>
      </c>
      <c r="E42" s="148">
        <f>AVERAGE(E38:E41)</f>
        <v>121574297.66081631</v>
      </c>
      <c r="F42" s="147">
        <f>AVERAGE(F38:F41)</f>
        <v>136490649</v>
      </c>
      <c r="G42" s="149">
        <f>AVERAGE(G38:G41)</f>
        <v>121769086.13065489</v>
      </c>
      <c r="H42" s="150"/>
    </row>
    <row r="43" spans="1:14" ht="26.25" customHeight="1" x14ac:dyDescent="0.4">
      <c r="A43" s="124" t="s">
        <v>70</v>
      </c>
      <c r="B43" s="125">
        <v>1</v>
      </c>
      <c r="C43" s="151" t="s">
        <v>71</v>
      </c>
      <c r="D43" s="152">
        <v>16.54</v>
      </c>
      <c r="E43" s="140"/>
      <c r="F43" s="152">
        <v>18.010000000000002</v>
      </c>
      <c r="H43" s="150"/>
    </row>
    <row r="44" spans="1:14" ht="26.25" customHeight="1" x14ac:dyDescent="0.4">
      <c r="A44" s="124" t="s">
        <v>72</v>
      </c>
      <c r="B44" s="125">
        <v>1</v>
      </c>
      <c r="C44" s="153" t="s">
        <v>73</v>
      </c>
      <c r="D44" s="154">
        <f>D43*$B$34</f>
        <v>16.54</v>
      </c>
      <c r="E44" s="155"/>
      <c r="F44" s="154">
        <f>F43*$B$34</f>
        <v>18.010000000000002</v>
      </c>
      <c r="H44" s="150"/>
    </row>
    <row r="45" spans="1:14" ht="19.5" customHeight="1" x14ac:dyDescent="0.3">
      <c r="A45" s="124" t="s">
        <v>74</v>
      </c>
      <c r="B45" s="156">
        <f>(B44/B43)*(B42/B41)*(B40/B39)*(B38/B37)*B36</f>
        <v>100</v>
      </c>
      <c r="C45" s="153" t="s">
        <v>75</v>
      </c>
      <c r="D45" s="157">
        <f>D44*$B$30/100</f>
        <v>16.470531999999999</v>
      </c>
      <c r="E45" s="158"/>
      <c r="F45" s="157">
        <f>F44*$B$30/100</f>
        <v>17.934358000000003</v>
      </c>
      <c r="H45" s="150"/>
    </row>
    <row r="46" spans="1:14" ht="19.5" customHeight="1" x14ac:dyDescent="0.3">
      <c r="A46" s="476" t="s">
        <v>76</v>
      </c>
      <c r="B46" s="477"/>
      <c r="C46" s="153" t="s">
        <v>77</v>
      </c>
      <c r="D46" s="159">
        <f>D45/$B$45</f>
        <v>0.16470531999999999</v>
      </c>
      <c r="E46" s="160"/>
      <c r="F46" s="161">
        <f>F45/$B$45</f>
        <v>0.17934358000000003</v>
      </c>
      <c r="H46" s="150"/>
    </row>
    <row r="47" spans="1:14" ht="27" customHeight="1" x14ac:dyDescent="0.4">
      <c r="A47" s="478"/>
      <c r="B47" s="479"/>
      <c r="C47" s="162" t="s">
        <v>78</v>
      </c>
      <c r="D47" s="163">
        <v>0.16</v>
      </c>
      <c r="E47" s="164"/>
      <c r="F47" s="160"/>
      <c r="H47" s="150"/>
    </row>
    <row r="48" spans="1:14" ht="18.75" x14ac:dyDescent="0.3">
      <c r="C48" s="165" t="s">
        <v>79</v>
      </c>
      <c r="D48" s="157">
        <f>D47*$B$45</f>
        <v>16</v>
      </c>
      <c r="F48" s="166"/>
      <c r="H48" s="150"/>
    </row>
    <row r="49" spans="1:12" ht="19.5" customHeight="1" x14ac:dyDescent="0.3">
      <c r="C49" s="167" t="s">
        <v>80</v>
      </c>
      <c r="D49" s="168">
        <f>D48/B34</f>
        <v>16</v>
      </c>
      <c r="F49" s="166"/>
      <c r="H49" s="150"/>
    </row>
    <row r="50" spans="1:12" ht="18.75" x14ac:dyDescent="0.3">
      <c r="C50" s="122" t="s">
        <v>81</v>
      </c>
      <c r="D50" s="169">
        <f>AVERAGE(E38:E41,G38:G41)</f>
        <v>121671691.89573561</v>
      </c>
      <c r="F50" s="170"/>
      <c r="H50" s="150"/>
    </row>
    <row r="51" spans="1:12" ht="18.75" x14ac:dyDescent="0.3">
      <c r="C51" s="124" t="s">
        <v>82</v>
      </c>
      <c r="D51" s="171">
        <f>STDEV(E38:E41,G38:G41)/D50</f>
        <v>1.0259906964363058E-3</v>
      </c>
      <c r="F51" s="170"/>
      <c r="H51" s="150"/>
    </row>
    <row r="52" spans="1:12" ht="19.5" customHeight="1" x14ac:dyDescent="0.3">
      <c r="C52" s="172" t="s">
        <v>19</v>
      </c>
      <c r="D52" s="173">
        <f>COUNT(E38:E41,G38:G41)</f>
        <v>6</v>
      </c>
      <c r="F52" s="170"/>
    </row>
    <row r="54" spans="1:12" ht="18.75" x14ac:dyDescent="0.3">
      <c r="A54" s="174" t="s">
        <v>1</v>
      </c>
      <c r="B54" s="175" t="s">
        <v>83</v>
      </c>
    </row>
    <row r="55" spans="1:12" ht="18.75" x14ac:dyDescent="0.3">
      <c r="A55" s="99" t="s">
        <v>84</v>
      </c>
      <c r="B55" s="176" t="str">
        <f>B21</f>
        <v>Sulphamethoxazole 800 mg, Trimethoprim 160 mg</v>
      </c>
    </row>
    <row r="56" spans="1:12" ht="26.25" customHeight="1" x14ac:dyDescent="0.4">
      <c r="A56" s="177" t="s">
        <v>85</v>
      </c>
      <c r="B56" s="178">
        <v>800</v>
      </c>
      <c r="C56" s="99" t="str">
        <f>B20</f>
        <v>Sulphamethoxazole 800 mg, Trimethoprim 160 mg</v>
      </c>
      <c r="H56" s="179"/>
    </row>
    <row r="57" spans="1:12" ht="18.75" x14ac:dyDescent="0.3">
      <c r="A57" s="176" t="s">
        <v>86</v>
      </c>
      <c r="B57" s="180">
        <f>Uniformity!C46</f>
        <v>1043.8885000000002</v>
      </c>
      <c r="H57" s="179"/>
    </row>
    <row r="58" spans="1:12" ht="19.5" customHeight="1" x14ac:dyDescent="0.3">
      <c r="H58" s="179"/>
    </row>
    <row r="59" spans="1:12" s="14" customFormat="1" ht="27" customHeight="1" x14ac:dyDescent="0.4">
      <c r="A59" s="122" t="s">
        <v>87</v>
      </c>
      <c r="B59" s="123">
        <v>100</v>
      </c>
      <c r="C59" s="99"/>
      <c r="D59" s="181" t="s">
        <v>88</v>
      </c>
      <c r="E59" s="182" t="s">
        <v>60</v>
      </c>
      <c r="F59" s="182" t="s">
        <v>61</v>
      </c>
      <c r="G59" s="182" t="s">
        <v>89</v>
      </c>
      <c r="H59" s="126" t="s">
        <v>90</v>
      </c>
      <c r="L59" s="112"/>
    </row>
    <row r="60" spans="1:12" s="14" customFormat="1" ht="26.25" customHeight="1" x14ac:dyDescent="0.4">
      <c r="A60" s="124" t="s">
        <v>91</v>
      </c>
      <c r="B60" s="125">
        <v>2</v>
      </c>
      <c r="C60" s="493" t="s">
        <v>92</v>
      </c>
      <c r="D60" s="496">
        <v>521.16</v>
      </c>
      <c r="E60" s="183">
        <v>1</v>
      </c>
      <c r="F60" s="184">
        <v>119665400</v>
      </c>
      <c r="G60" s="185">
        <f>IF(ISBLANK(F60),"-",(F60/$D$50*$D$47*$B$68)*($B$57/$D$60))</f>
        <v>787.99249069517975</v>
      </c>
      <c r="H60" s="186">
        <f t="shared" ref="H60:H71" si="0">IF(ISBLANK(F60),"-",G60/$B$56)</f>
        <v>0.98499061336897464</v>
      </c>
      <c r="L60" s="112"/>
    </row>
    <row r="61" spans="1:12" s="14" customFormat="1" ht="26.25" customHeight="1" x14ac:dyDescent="0.4">
      <c r="A61" s="124" t="s">
        <v>93</v>
      </c>
      <c r="B61" s="125">
        <v>50</v>
      </c>
      <c r="C61" s="494"/>
      <c r="D61" s="497"/>
      <c r="E61" s="187">
        <v>2</v>
      </c>
      <c r="F61" s="137">
        <v>119608140</v>
      </c>
      <c r="G61" s="188">
        <f>IF(ISBLANK(F61),"-",(F61/$D$50*$D$47*$B$68)*($B$57/$D$60))</f>
        <v>787.61543558971732</v>
      </c>
      <c r="H61" s="189">
        <f t="shared" si="0"/>
        <v>0.9845192944871467</v>
      </c>
      <c r="L61" s="112"/>
    </row>
    <row r="62" spans="1:12" s="14" customFormat="1" ht="26.25" customHeight="1" x14ac:dyDescent="0.4">
      <c r="A62" s="124" t="s">
        <v>94</v>
      </c>
      <c r="B62" s="125">
        <v>1</v>
      </c>
      <c r="C62" s="494"/>
      <c r="D62" s="497"/>
      <c r="E62" s="187">
        <v>3</v>
      </c>
      <c r="F62" s="190">
        <v>119570903</v>
      </c>
      <c r="G62" s="188">
        <f>IF(ISBLANK(F62),"-",(F62/$D$50*$D$47*$B$68)*($B$57/$D$60))</f>
        <v>787.37023124179359</v>
      </c>
      <c r="H62" s="189">
        <f t="shared" si="0"/>
        <v>0.98421278905224197</v>
      </c>
      <c r="L62" s="112"/>
    </row>
    <row r="63" spans="1:12" ht="27" customHeight="1" x14ac:dyDescent="0.4">
      <c r="A63" s="124" t="s">
        <v>95</v>
      </c>
      <c r="B63" s="125">
        <v>1</v>
      </c>
      <c r="C63" s="504"/>
      <c r="D63" s="498"/>
      <c r="E63" s="191">
        <v>4</v>
      </c>
      <c r="F63" s="192"/>
      <c r="G63" s="188" t="str">
        <f>IF(ISBLANK(F63),"-",(F63/$D$50*$D$47*$B$68)*($B$57/$D$60))</f>
        <v>-</v>
      </c>
      <c r="H63" s="189" t="str">
        <f t="shared" si="0"/>
        <v>-</v>
      </c>
    </row>
    <row r="64" spans="1:12" ht="26.25" customHeight="1" x14ac:dyDescent="0.4">
      <c r="A64" s="124" t="s">
        <v>96</v>
      </c>
      <c r="B64" s="125">
        <v>1</v>
      </c>
      <c r="C64" s="493" t="s">
        <v>97</v>
      </c>
      <c r="D64" s="496">
        <v>520.29</v>
      </c>
      <c r="E64" s="183">
        <v>1</v>
      </c>
      <c r="F64" s="184">
        <v>118539556</v>
      </c>
      <c r="G64" s="193">
        <f>IF(ISBLANK(F64),"-",(F64/$D$50*$D$47*$B$68)*($B$57/$D$64))</f>
        <v>781.88408770494311</v>
      </c>
      <c r="H64" s="194">
        <f t="shared" si="0"/>
        <v>0.97735510963117889</v>
      </c>
    </row>
    <row r="65" spans="1:8" ht="26.25" customHeight="1" x14ac:dyDescent="0.4">
      <c r="A65" s="124" t="s">
        <v>98</v>
      </c>
      <c r="B65" s="125">
        <v>1</v>
      </c>
      <c r="C65" s="494"/>
      <c r="D65" s="497"/>
      <c r="E65" s="187">
        <v>2</v>
      </c>
      <c r="F65" s="137">
        <v>118436881</v>
      </c>
      <c r="G65" s="195">
        <f>IF(ISBLANK(F65),"-",(F65/$D$50*$D$47*$B$68)*($B$57/$D$64))</f>
        <v>781.20684585071263</v>
      </c>
      <c r="H65" s="196">
        <f t="shared" si="0"/>
        <v>0.97650855731339081</v>
      </c>
    </row>
    <row r="66" spans="1:8" ht="26.25" customHeight="1" x14ac:dyDescent="0.4">
      <c r="A66" s="124" t="s">
        <v>99</v>
      </c>
      <c r="B66" s="125">
        <v>1</v>
      </c>
      <c r="C66" s="494"/>
      <c r="D66" s="497"/>
      <c r="E66" s="187">
        <v>3</v>
      </c>
      <c r="F66" s="137">
        <v>118641583</v>
      </c>
      <c r="G66" s="195">
        <f>IF(ISBLANK(F66),"-",(F66/$D$50*$D$47*$B$68)*($B$57/$D$64))</f>
        <v>782.55705536660946</v>
      </c>
      <c r="H66" s="196">
        <f t="shared" si="0"/>
        <v>0.97819631920826178</v>
      </c>
    </row>
    <row r="67" spans="1:8" ht="27" customHeight="1" x14ac:dyDescent="0.4">
      <c r="A67" s="124" t="s">
        <v>100</v>
      </c>
      <c r="B67" s="125">
        <v>1</v>
      </c>
      <c r="C67" s="504"/>
      <c r="D67" s="498"/>
      <c r="E67" s="191">
        <v>4</v>
      </c>
      <c r="F67" s="192"/>
      <c r="G67" s="197" t="str">
        <f>IF(ISBLANK(F67),"-",(F67/$D$50*$D$47*$B$68)*($B$57/$D$64))</f>
        <v>-</v>
      </c>
      <c r="H67" s="198" t="str">
        <f t="shared" si="0"/>
        <v>-</v>
      </c>
    </row>
    <row r="68" spans="1:8" ht="26.25" customHeight="1" x14ac:dyDescent="0.4">
      <c r="A68" s="124" t="s">
        <v>101</v>
      </c>
      <c r="B68" s="199">
        <f>(B67/B66)*(B65/B64)*(B63/B62)*(B61/B60)*B59</f>
        <v>2500</v>
      </c>
      <c r="C68" s="493" t="s">
        <v>102</v>
      </c>
      <c r="D68" s="496">
        <v>523.99</v>
      </c>
      <c r="E68" s="183">
        <v>1</v>
      </c>
      <c r="F68" s="184">
        <v>118507097</v>
      </c>
      <c r="G68" s="193">
        <f>IF(ISBLANK(F68),"-",(F68/$D$50*$D$47*$B$68)*($B$57/$D$68))</f>
        <v>776.15045808533387</v>
      </c>
      <c r="H68" s="189">
        <f t="shared" si="0"/>
        <v>0.97018807260666728</v>
      </c>
    </row>
    <row r="69" spans="1:8" ht="27" customHeight="1" x14ac:dyDescent="0.4">
      <c r="A69" s="172" t="s">
        <v>103</v>
      </c>
      <c r="B69" s="200">
        <f>(D47*B68)/B56*B57</f>
        <v>521.94425000000012</v>
      </c>
      <c r="C69" s="494"/>
      <c r="D69" s="497"/>
      <c r="E69" s="187">
        <v>2</v>
      </c>
      <c r="F69" s="137">
        <v>119461458</v>
      </c>
      <c r="G69" s="195">
        <f>IF(ISBLANK(F69),"-",(F69/$D$50*$D$47*$B$68)*($B$57/$D$68))</f>
        <v>782.40095063877789</v>
      </c>
      <c r="H69" s="189">
        <f t="shared" si="0"/>
        <v>0.97800118829847238</v>
      </c>
    </row>
    <row r="70" spans="1:8" ht="26.25" customHeight="1" x14ac:dyDescent="0.4">
      <c r="A70" s="499" t="s">
        <v>76</v>
      </c>
      <c r="B70" s="500"/>
      <c r="C70" s="494"/>
      <c r="D70" s="497"/>
      <c r="E70" s="187">
        <v>3</v>
      </c>
      <c r="F70" s="137">
        <v>119778014</v>
      </c>
      <c r="G70" s="195">
        <f>IF(ISBLANK(F70),"-",(F70/$D$50*$D$47*$B$68)*($B$57/$D$68))</f>
        <v>784.47420271084297</v>
      </c>
      <c r="H70" s="189">
        <f t="shared" si="0"/>
        <v>0.98059275338855367</v>
      </c>
    </row>
    <row r="71" spans="1:8" ht="27" customHeight="1" x14ac:dyDescent="0.4">
      <c r="A71" s="501"/>
      <c r="B71" s="502"/>
      <c r="C71" s="495"/>
      <c r="D71" s="498"/>
      <c r="E71" s="191">
        <v>4</v>
      </c>
      <c r="F71" s="192"/>
      <c r="G71" s="197" t="str">
        <f>IF(ISBLANK(F71),"-",(F71/$D$50*$D$47*$B$68)*($B$57/$D$68))</f>
        <v>-</v>
      </c>
      <c r="H71" s="201" t="str">
        <f t="shared" si="0"/>
        <v>-</v>
      </c>
    </row>
    <row r="72" spans="1:8" ht="26.25" customHeight="1" x14ac:dyDescent="0.4">
      <c r="A72" s="202"/>
      <c r="B72" s="202"/>
      <c r="C72" s="202"/>
      <c r="D72" s="202"/>
      <c r="E72" s="202"/>
      <c r="F72" s="203"/>
      <c r="G72" s="204" t="s">
        <v>69</v>
      </c>
      <c r="H72" s="205">
        <f>AVERAGE(H60:H71)</f>
        <v>0.97939607748387658</v>
      </c>
    </row>
    <row r="73" spans="1:8" ht="26.25" customHeight="1" x14ac:dyDescent="0.4">
      <c r="C73" s="202"/>
      <c r="D73" s="202"/>
      <c r="E73" s="202"/>
      <c r="F73" s="203"/>
      <c r="G73" s="206" t="s">
        <v>82</v>
      </c>
      <c r="H73" s="207">
        <f>STDEV(H60:H71)/H72</f>
        <v>4.8814602522995135E-3</v>
      </c>
    </row>
    <row r="74" spans="1:8" ht="27" customHeight="1" x14ac:dyDescent="0.4">
      <c r="A74" s="202"/>
      <c r="B74" s="202"/>
      <c r="C74" s="203"/>
      <c r="D74" s="203"/>
      <c r="E74" s="208"/>
      <c r="F74" s="203"/>
      <c r="G74" s="209" t="s">
        <v>19</v>
      </c>
      <c r="H74" s="210">
        <f>COUNT(H60:H71)</f>
        <v>9</v>
      </c>
    </row>
    <row r="76" spans="1:8" ht="26.25" customHeight="1" x14ac:dyDescent="0.4">
      <c r="A76" s="108" t="s">
        <v>104</v>
      </c>
      <c r="B76" s="211" t="s">
        <v>105</v>
      </c>
      <c r="C76" s="480" t="str">
        <f>B20</f>
        <v>Sulphamethoxazole 800 mg, Trimethoprim 160 mg</v>
      </c>
      <c r="D76" s="480"/>
      <c r="E76" s="212" t="s">
        <v>106</v>
      </c>
      <c r="F76" s="212"/>
      <c r="G76" s="213">
        <f>H72</f>
        <v>0.97939607748387658</v>
      </c>
      <c r="H76" s="214"/>
    </row>
    <row r="77" spans="1:8" ht="18.75" x14ac:dyDescent="0.3">
      <c r="A77" s="107" t="s">
        <v>107</v>
      </c>
      <c r="B77" s="107" t="s">
        <v>108</v>
      </c>
    </row>
    <row r="78" spans="1:8" ht="18.75" x14ac:dyDescent="0.3">
      <c r="A78" s="107"/>
      <c r="B78" s="107"/>
    </row>
    <row r="79" spans="1:8" ht="26.25" customHeight="1" x14ac:dyDescent="0.4">
      <c r="A79" s="108" t="s">
        <v>4</v>
      </c>
      <c r="B79" s="503" t="str">
        <f>B26</f>
        <v>Sulfamethoxazole</v>
      </c>
      <c r="C79" s="503"/>
    </row>
    <row r="80" spans="1:8" ht="26.25" customHeight="1" x14ac:dyDescent="0.4">
      <c r="A80" s="109" t="s">
        <v>46</v>
      </c>
      <c r="B80" s="503" t="str">
        <f>B27</f>
        <v>NQCL-PRS-S12-2</v>
      </c>
      <c r="C80" s="503"/>
    </row>
    <row r="81" spans="1:12" ht="27" customHeight="1" x14ac:dyDescent="0.4">
      <c r="A81" s="109" t="s">
        <v>6</v>
      </c>
      <c r="B81" s="215">
        <f>B28</f>
        <v>99.58</v>
      </c>
    </row>
    <row r="82" spans="1:12" s="14" customFormat="1" ht="27" customHeight="1" x14ac:dyDescent="0.4">
      <c r="A82" s="109" t="s">
        <v>47</v>
      </c>
      <c r="B82" s="111">
        <v>0</v>
      </c>
      <c r="C82" s="482" t="s">
        <v>48</v>
      </c>
      <c r="D82" s="483"/>
      <c r="E82" s="483"/>
      <c r="F82" s="483"/>
      <c r="G82" s="484"/>
      <c r="I82" s="112"/>
      <c r="J82" s="112"/>
      <c r="K82" s="112"/>
      <c r="L82" s="112"/>
    </row>
    <row r="83" spans="1:12" s="14" customFormat="1" ht="19.5" customHeight="1" x14ac:dyDescent="0.3">
      <c r="A83" s="109" t="s">
        <v>49</v>
      </c>
      <c r="B83" s="113">
        <f>B81-B82</f>
        <v>99.58</v>
      </c>
      <c r="C83" s="114"/>
      <c r="D83" s="114"/>
      <c r="E83" s="114"/>
      <c r="F83" s="114"/>
      <c r="G83" s="115"/>
      <c r="I83" s="112"/>
      <c r="J83" s="112"/>
      <c r="K83" s="112"/>
      <c r="L83" s="112"/>
    </row>
    <row r="84" spans="1:12" s="14" customFormat="1" ht="27" customHeight="1" x14ac:dyDescent="0.4">
      <c r="A84" s="109" t="s">
        <v>50</v>
      </c>
      <c r="B84" s="116">
        <v>1</v>
      </c>
      <c r="C84" s="485" t="s">
        <v>109</v>
      </c>
      <c r="D84" s="486"/>
      <c r="E84" s="486"/>
      <c r="F84" s="486"/>
      <c r="G84" s="486"/>
      <c r="H84" s="487"/>
      <c r="I84" s="112"/>
      <c r="J84" s="112"/>
      <c r="K84" s="112"/>
      <c r="L84" s="112"/>
    </row>
    <row r="85" spans="1:12" s="14" customFormat="1" ht="27" customHeight="1" x14ac:dyDescent="0.4">
      <c r="A85" s="109" t="s">
        <v>52</v>
      </c>
      <c r="B85" s="116">
        <v>1</v>
      </c>
      <c r="C85" s="485" t="s">
        <v>110</v>
      </c>
      <c r="D85" s="486"/>
      <c r="E85" s="486"/>
      <c r="F85" s="486"/>
      <c r="G85" s="486"/>
      <c r="H85" s="487"/>
      <c r="I85" s="112"/>
      <c r="J85" s="112"/>
      <c r="K85" s="112"/>
      <c r="L85" s="112"/>
    </row>
    <row r="86" spans="1:12" s="14" customFormat="1" ht="18.75" x14ac:dyDescent="0.3">
      <c r="A86" s="109"/>
      <c r="B86" s="119"/>
      <c r="C86" s="120"/>
      <c r="D86" s="120"/>
      <c r="E86" s="120"/>
      <c r="F86" s="120"/>
      <c r="G86" s="120"/>
      <c r="H86" s="120"/>
      <c r="I86" s="112"/>
      <c r="J86" s="112"/>
      <c r="K86" s="112"/>
      <c r="L86" s="112"/>
    </row>
    <row r="87" spans="1:12" s="14" customFormat="1" ht="18.75" x14ac:dyDescent="0.3">
      <c r="A87" s="109" t="s">
        <v>54</v>
      </c>
      <c r="B87" s="121">
        <f>B84/B85</f>
        <v>1</v>
      </c>
      <c r="C87" s="99" t="s">
        <v>55</v>
      </c>
      <c r="D87" s="99"/>
      <c r="E87" s="99"/>
      <c r="F87" s="99"/>
      <c r="G87" s="99"/>
      <c r="I87" s="112"/>
      <c r="J87" s="112"/>
      <c r="K87" s="112"/>
      <c r="L87" s="112"/>
    </row>
    <row r="88" spans="1:12" ht="19.5" customHeight="1" x14ac:dyDescent="0.3">
      <c r="A88" s="107"/>
      <c r="B88" s="107"/>
    </row>
    <row r="89" spans="1:12" ht="27" customHeight="1" x14ac:dyDescent="0.4">
      <c r="A89" s="122" t="s">
        <v>56</v>
      </c>
      <c r="B89" s="123">
        <v>25</v>
      </c>
      <c r="D89" s="216" t="s">
        <v>57</v>
      </c>
      <c r="E89" s="217"/>
      <c r="F89" s="488" t="s">
        <v>58</v>
      </c>
      <c r="G89" s="489"/>
    </row>
    <row r="90" spans="1:12" ht="27" customHeight="1" x14ac:dyDescent="0.4">
      <c r="A90" s="124" t="s">
        <v>59</v>
      </c>
      <c r="B90" s="125">
        <v>15</v>
      </c>
      <c r="C90" s="218" t="s">
        <v>60</v>
      </c>
      <c r="D90" s="127" t="s">
        <v>61</v>
      </c>
      <c r="E90" s="128" t="s">
        <v>62</v>
      </c>
      <c r="F90" s="127" t="s">
        <v>61</v>
      </c>
      <c r="G90" s="219" t="s">
        <v>62</v>
      </c>
      <c r="I90" s="130" t="s">
        <v>63</v>
      </c>
    </row>
    <row r="91" spans="1:12" ht="26.25" customHeight="1" x14ac:dyDescent="0.4">
      <c r="A91" s="124" t="s">
        <v>64</v>
      </c>
      <c r="B91" s="125">
        <v>50</v>
      </c>
      <c r="C91" s="220">
        <v>1</v>
      </c>
      <c r="D91" s="315">
        <v>167705540</v>
      </c>
      <c r="E91" s="133">
        <f>IF(ISBLANK(D91),"-",$D$101/$D$98*D91)</f>
        <v>164465697.33505726</v>
      </c>
      <c r="F91" s="315">
        <v>187178916</v>
      </c>
      <c r="G91" s="134">
        <f>IF(ISBLANK(F91),"-",$D$101/$F$98*F91)</f>
        <v>164021276.79710281</v>
      </c>
      <c r="I91" s="135"/>
    </row>
    <row r="92" spans="1:12" ht="26.25" customHeight="1" x14ac:dyDescent="0.4">
      <c r="A92" s="124" t="s">
        <v>65</v>
      </c>
      <c r="B92" s="125">
        <v>1</v>
      </c>
      <c r="C92" s="203">
        <v>2</v>
      </c>
      <c r="D92" s="320">
        <v>168044501</v>
      </c>
      <c r="E92" s="138">
        <f>IF(ISBLANK(D92),"-",$D$101/$D$98*D92)</f>
        <v>164798110.07010695</v>
      </c>
      <c r="F92" s="320">
        <v>187941669</v>
      </c>
      <c r="G92" s="139">
        <f>IF(ISBLANK(F92),"-",$D$101/$F$98*F92)</f>
        <v>164689662.55130187</v>
      </c>
      <c r="I92" s="490">
        <f>ABS((F96/D96*D95)-F95)/D95</f>
        <v>4.5012059233545025E-4</v>
      </c>
    </row>
    <row r="93" spans="1:12" ht="26.25" customHeight="1" x14ac:dyDescent="0.4">
      <c r="A93" s="124" t="s">
        <v>66</v>
      </c>
      <c r="B93" s="125">
        <v>1</v>
      </c>
      <c r="C93" s="203">
        <v>3</v>
      </c>
      <c r="D93" s="320">
        <v>167911219</v>
      </c>
      <c r="E93" s="138">
        <f>IF(ISBLANK(D93),"-",$D$101/$D$98*D93)</f>
        <v>164667402.89685431</v>
      </c>
      <c r="F93" s="320">
        <v>188320484</v>
      </c>
      <c r="G93" s="139">
        <f>IF(ISBLANK(F93),"-",$D$101/$F$98*F93)</f>
        <v>165021610.83531636</v>
      </c>
      <c r="I93" s="490"/>
    </row>
    <row r="94" spans="1:12" ht="27" customHeight="1" x14ac:dyDescent="0.4">
      <c r="A94" s="124" t="s">
        <v>67</v>
      </c>
      <c r="B94" s="125">
        <v>1</v>
      </c>
      <c r="C94" s="221">
        <v>4</v>
      </c>
      <c r="D94" s="142"/>
      <c r="E94" s="143" t="str">
        <f>IF(ISBLANK(D94),"-",$D$101/$D$98*D94)</f>
        <v>-</v>
      </c>
      <c r="F94" s="222"/>
      <c r="G94" s="144" t="str">
        <f>IF(ISBLANK(F94),"-",$D$101/$F$98*F94)</f>
        <v>-</v>
      </c>
      <c r="I94" s="145"/>
    </row>
    <row r="95" spans="1:12" ht="27" customHeight="1" x14ac:dyDescent="0.4">
      <c r="A95" s="124" t="s">
        <v>68</v>
      </c>
      <c r="B95" s="125">
        <v>1</v>
      </c>
      <c r="C95" s="223" t="s">
        <v>69</v>
      </c>
      <c r="D95" s="224">
        <f>AVERAGE(D91:D94)</f>
        <v>167887086.66666666</v>
      </c>
      <c r="E95" s="148">
        <f>AVERAGE(E91:E94)</f>
        <v>164643736.7673395</v>
      </c>
      <c r="F95" s="225">
        <f>AVERAGE(F91:F94)</f>
        <v>187813689.66666666</v>
      </c>
      <c r="G95" s="226">
        <f>AVERAGE(G91:G94)</f>
        <v>164577516.727907</v>
      </c>
    </row>
    <row r="96" spans="1:12" ht="26.25" customHeight="1" x14ac:dyDescent="0.4">
      <c r="A96" s="124" t="s">
        <v>70</v>
      </c>
      <c r="B96" s="110">
        <v>1</v>
      </c>
      <c r="C96" s="227" t="s">
        <v>111</v>
      </c>
      <c r="D96" s="228">
        <v>15.36</v>
      </c>
      <c r="E96" s="140"/>
      <c r="F96" s="152">
        <v>17.190000000000001</v>
      </c>
    </row>
    <row r="97" spans="1:10" ht="26.25" customHeight="1" x14ac:dyDescent="0.4">
      <c r="A97" s="124" t="s">
        <v>72</v>
      </c>
      <c r="B97" s="110">
        <v>1</v>
      </c>
      <c r="C97" s="229" t="s">
        <v>112</v>
      </c>
      <c r="D97" s="230">
        <f>D96*$B$87</f>
        <v>15.36</v>
      </c>
      <c r="E97" s="155"/>
      <c r="F97" s="154">
        <f>F96*$B$87</f>
        <v>17.190000000000001</v>
      </c>
    </row>
    <row r="98" spans="1:10" ht="19.5" customHeight="1" x14ac:dyDescent="0.3">
      <c r="A98" s="124" t="s">
        <v>74</v>
      </c>
      <c r="B98" s="231">
        <f>(B97/B96)*(B95/B94)*(B93/B92)*(B91/B90)*B89</f>
        <v>83.333333333333343</v>
      </c>
      <c r="C98" s="229" t="s">
        <v>113</v>
      </c>
      <c r="D98" s="232">
        <f>D97*$B$83/100</f>
        <v>15.295488000000001</v>
      </c>
      <c r="E98" s="158"/>
      <c r="F98" s="157">
        <f>F97*$B$83/100</f>
        <v>17.117802000000001</v>
      </c>
    </row>
    <row r="99" spans="1:10" ht="19.5" customHeight="1" x14ac:dyDescent="0.3">
      <c r="A99" s="476" t="s">
        <v>76</v>
      </c>
      <c r="B99" s="491"/>
      <c r="C99" s="229" t="s">
        <v>114</v>
      </c>
      <c r="D99" s="233">
        <f>D98/$B$98</f>
        <v>0.18354585599999998</v>
      </c>
      <c r="E99" s="158"/>
      <c r="F99" s="161">
        <f>F98/$B$98</f>
        <v>0.20541362399999999</v>
      </c>
      <c r="G99" s="234"/>
      <c r="H99" s="150"/>
    </row>
    <row r="100" spans="1:10" ht="19.5" customHeight="1" x14ac:dyDescent="0.3">
      <c r="A100" s="478"/>
      <c r="B100" s="492"/>
      <c r="C100" s="229" t="s">
        <v>78</v>
      </c>
      <c r="D100" s="235">
        <v>0.18</v>
      </c>
      <c r="F100" s="166"/>
      <c r="G100" s="236"/>
      <c r="H100" s="150"/>
    </row>
    <row r="101" spans="1:10" ht="18.75" x14ac:dyDescent="0.3">
      <c r="C101" s="229" t="s">
        <v>79</v>
      </c>
      <c r="D101" s="230">
        <f>D100*$B$98</f>
        <v>15.000000000000002</v>
      </c>
      <c r="F101" s="166"/>
      <c r="G101" s="234"/>
      <c r="H101" s="150"/>
    </row>
    <row r="102" spans="1:10" ht="19.5" customHeight="1" x14ac:dyDescent="0.3">
      <c r="C102" s="237" t="s">
        <v>80</v>
      </c>
      <c r="D102" s="238">
        <f>D101/B34</f>
        <v>15.000000000000002</v>
      </c>
      <c r="F102" s="170"/>
      <c r="G102" s="234"/>
      <c r="H102" s="150"/>
      <c r="J102" s="239"/>
    </row>
    <row r="103" spans="1:10" ht="18.75" x14ac:dyDescent="0.3">
      <c r="C103" s="240" t="s">
        <v>115</v>
      </c>
      <c r="D103" s="241">
        <f>AVERAGE(E91:E94,G91:G94)</f>
        <v>164610626.74762323</v>
      </c>
      <c r="F103" s="170"/>
      <c r="G103" s="242"/>
      <c r="H103" s="150"/>
      <c r="J103" s="243"/>
    </row>
    <row r="104" spans="1:10" ht="18.75" x14ac:dyDescent="0.3">
      <c r="C104" s="206" t="s">
        <v>82</v>
      </c>
      <c r="D104" s="244">
        <f>STDEV(E91:E94,G91:G94)/D103</f>
        <v>2.0723763219701982E-3</v>
      </c>
      <c r="F104" s="170"/>
      <c r="G104" s="234"/>
      <c r="H104" s="150"/>
      <c r="J104" s="243"/>
    </row>
    <row r="105" spans="1:10" ht="19.5" customHeight="1" x14ac:dyDescent="0.3">
      <c r="C105" s="209" t="s">
        <v>19</v>
      </c>
      <c r="D105" s="245">
        <f>COUNT(E91:E94,G91:G94)</f>
        <v>6</v>
      </c>
      <c r="F105" s="170"/>
      <c r="G105" s="234"/>
      <c r="H105" s="150"/>
      <c r="J105" s="243"/>
    </row>
    <row r="106" spans="1:10" ht="19.5" customHeight="1" x14ac:dyDescent="0.3">
      <c r="A106" s="174"/>
      <c r="B106" s="174"/>
      <c r="C106" s="174"/>
      <c r="D106" s="174"/>
      <c r="E106" s="174"/>
    </row>
    <row r="107" spans="1:10" ht="26.25" customHeight="1" x14ac:dyDescent="0.4">
      <c r="A107" s="122" t="s">
        <v>116</v>
      </c>
      <c r="B107" s="123">
        <v>900</v>
      </c>
      <c r="C107" s="246" t="s">
        <v>117</v>
      </c>
      <c r="D107" s="247" t="s">
        <v>61</v>
      </c>
      <c r="E107" s="248" t="s">
        <v>118</v>
      </c>
      <c r="F107" s="249" t="s">
        <v>119</v>
      </c>
    </row>
    <row r="108" spans="1:10" ht="26.25" customHeight="1" x14ac:dyDescent="0.4">
      <c r="A108" s="124" t="s">
        <v>120</v>
      </c>
      <c r="B108" s="125">
        <v>5</v>
      </c>
      <c r="C108" s="250">
        <v>1</v>
      </c>
      <c r="D108" s="251">
        <v>164548395</v>
      </c>
      <c r="E108" s="252">
        <f>IF(ISBLANK(D108),"-",D108/$D$103*$D$100*$B$116)</f>
        <v>647.75502084369259</v>
      </c>
      <c r="F108" s="253">
        <f t="shared" ref="F108:F113" si="1">IF(ISBLANK(D108), "-", E108/$B$56)</f>
        <v>0.80969377605461579</v>
      </c>
    </row>
    <row r="109" spans="1:10" ht="26.25" customHeight="1" x14ac:dyDescent="0.4">
      <c r="A109" s="124" t="s">
        <v>93</v>
      </c>
      <c r="B109" s="125">
        <v>20</v>
      </c>
      <c r="C109" s="250">
        <v>2</v>
      </c>
      <c r="D109" s="251">
        <v>164800282</v>
      </c>
      <c r="E109" s="254">
        <f>IF(ISBLANK(D109),"-",D109/$D$103*$D$100*$B$116)</f>
        <v>648.7465897309811</v>
      </c>
      <c r="F109" s="255">
        <f>IF(ISBLANK(D109), "-", E109/$B$56)</f>
        <v>0.81093323716372634</v>
      </c>
    </row>
    <row r="110" spans="1:10" ht="26.25" customHeight="1" x14ac:dyDescent="0.4">
      <c r="A110" s="124" t="s">
        <v>94</v>
      </c>
      <c r="B110" s="125">
        <v>1</v>
      </c>
      <c r="C110" s="250">
        <v>3</v>
      </c>
      <c r="D110" s="251">
        <v>165204742</v>
      </c>
      <c r="E110" s="254">
        <f t="shared" ref="E108:E113" si="2">IF(ISBLANK(D110),"-",D110/$D$103*$D$100*$B$116)</f>
        <v>650.33877174971451</v>
      </c>
      <c r="F110" s="255">
        <f t="shared" si="1"/>
        <v>0.81292346468714316</v>
      </c>
    </row>
    <row r="111" spans="1:10" ht="26.25" customHeight="1" x14ac:dyDescent="0.4">
      <c r="A111" s="124" t="s">
        <v>95</v>
      </c>
      <c r="B111" s="125">
        <v>1</v>
      </c>
      <c r="C111" s="250">
        <v>4</v>
      </c>
      <c r="D111" s="251">
        <v>160474947</v>
      </c>
      <c r="E111" s="254">
        <f t="shared" si="2"/>
        <v>631.71963870492607</v>
      </c>
      <c r="F111" s="255">
        <f t="shared" si="1"/>
        <v>0.78964954838115764</v>
      </c>
    </row>
    <row r="112" spans="1:10" ht="26.25" customHeight="1" x14ac:dyDescent="0.4">
      <c r="A112" s="124" t="s">
        <v>96</v>
      </c>
      <c r="B112" s="125">
        <v>1</v>
      </c>
      <c r="C112" s="250">
        <v>5</v>
      </c>
      <c r="D112" s="251">
        <v>165659849</v>
      </c>
      <c r="E112" s="254">
        <f t="shared" si="2"/>
        <v>652.13032884312224</v>
      </c>
      <c r="F112" s="255">
        <f>IF(ISBLANK(D112), "-", E112/$B$56)</f>
        <v>0.81516291105390282</v>
      </c>
    </row>
    <row r="113" spans="1:10" ht="26.25" customHeight="1" x14ac:dyDescent="0.4">
      <c r="A113" s="124" t="s">
        <v>98</v>
      </c>
      <c r="B113" s="125">
        <v>1</v>
      </c>
      <c r="C113" s="256">
        <v>6</v>
      </c>
      <c r="D113" s="257">
        <v>164261994</v>
      </c>
      <c r="E113" s="258">
        <f t="shared" si="2"/>
        <v>646.62758544254723</v>
      </c>
      <c r="F113" s="259">
        <f>IF(ISBLANK(D113), "-", E113/$B$56)</f>
        <v>0.80828448180318402</v>
      </c>
    </row>
    <row r="114" spans="1:10" ht="26.25" customHeight="1" x14ac:dyDescent="0.4">
      <c r="A114" s="124" t="s">
        <v>99</v>
      </c>
      <c r="B114" s="125">
        <v>1</v>
      </c>
      <c r="C114" s="250"/>
      <c r="D114" s="203"/>
      <c r="E114" s="98"/>
      <c r="F114" s="260"/>
    </row>
    <row r="115" spans="1:10" ht="26.25" customHeight="1" x14ac:dyDescent="0.4">
      <c r="A115" s="124" t="s">
        <v>100</v>
      </c>
      <c r="B115" s="125">
        <v>1</v>
      </c>
      <c r="C115" s="250"/>
      <c r="D115" s="261"/>
      <c r="E115" s="262" t="s">
        <v>69</v>
      </c>
      <c r="F115" s="263">
        <f>AVERAGE(F108:F113)</f>
        <v>0.80777456985728835</v>
      </c>
    </row>
    <row r="116" spans="1:10" ht="27" customHeight="1" x14ac:dyDescent="0.4">
      <c r="A116" s="124" t="s">
        <v>101</v>
      </c>
      <c r="B116" s="156">
        <f>(B115/B114)*(B113/B112)*(B111/B110)*(B109/B108)*B107</f>
        <v>3600</v>
      </c>
      <c r="C116" s="264"/>
      <c r="D116" s="265"/>
      <c r="E116" s="223" t="s">
        <v>82</v>
      </c>
      <c r="F116" s="266">
        <f>STDEV(F108:F113)/F115</f>
        <v>1.1393831865756895E-2</v>
      </c>
      <c r="I116" s="98"/>
    </row>
    <row r="117" spans="1:10" ht="27" customHeight="1" x14ac:dyDescent="0.4">
      <c r="A117" s="476" t="s">
        <v>76</v>
      </c>
      <c r="B117" s="477"/>
      <c r="C117" s="267"/>
      <c r="D117" s="268"/>
      <c r="E117" s="269" t="s">
        <v>19</v>
      </c>
      <c r="F117" s="270">
        <f>COUNT(F108:F113)</f>
        <v>6</v>
      </c>
      <c r="I117" s="98"/>
      <c r="J117" s="243"/>
    </row>
    <row r="118" spans="1:10" ht="19.5" customHeight="1" x14ac:dyDescent="0.3">
      <c r="A118" s="478"/>
      <c r="B118" s="479"/>
      <c r="C118" s="98"/>
      <c r="D118" s="98"/>
      <c r="E118" s="98"/>
      <c r="F118" s="203"/>
      <c r="G118" s="98"/>
      <c r="H118" s="98"/>
      <c r="I118" s="98"/>
    </row>
    <row r="119" spans="1:10" ht="18.75" x14ac:dyDescent="0.3">
      <c r="A119" s="279"/>
      <c r="B119" s="120"/>
      <c r="C119" s="98"/>
      <c r="D119" s="98"/>
      <c r="E119" s="98"/>
      <c r="F119" s="203"/>
      <c r="G119" s="98"/>
      <c r="H119" s="98"/>
      <c r="I119" s="98"/>
    </row>
    <row r="120" spans="1:10" ht="26.25" customHeight="1" x14ac:dyDescent="0.4">
      <c r="A120" s="108" t="s">
        <v>104</v>
      </c>
      <c r="B120" s="211" t="s">
        <v>121</v>
      </c>
      <c r="C120" s="480" t="str">
        <f>B20</f>
        <v>Sulphamethoxazole 800 mg, Trimethoprim 160 mg</v>
      </c>
      <c r="D120" s="480"/>
      <c r="E120" s="212" t="s">
        <v>122</v>
      </c>
      <c r="F120" s="212"/>
      <c r="G120" s="213">
        <f>F115</f>
        <v>0.80777456985728835</v>
      </c>
      <c r="H120" s="98"/>
      <c r="I120" s="98"/>
    </row>
    <row r="121" spans="1:10" ht="19.5" customHeight="1" x14ac:dyDescent="0.3">
      <c r="A121" s="271"/>
      <c r="B121" s="271"/>
      <c r="C121" s="272"/>
      <c r="D121" s="272"/>
      <c r="E121" s="272"/>
      <c r="F121" s="272"/>
      <c r="G121" s="272"/>
      <c r="H121" s="272"/>
    </row>
    <row r="122" spans="1:10" ht="18.75" x14ac:dyDescent="0.3">
      <c r="B122" s="481" t="s">
        <v>25</v>
      </c>
      <c r="C122" s="481"/>
      <c r="E122" s="218" t="s">
        <v>26</v>
      </c>
      <c r="F122" s="273"/>
      <c r="G122" s="481" t="s">
        <v>27</v>
      </c>
      <c r="H122" s="481"/>
    </row>
    <row r="123" spans="1:10" ht="18.75" x14ac:dyDescent="0.3">
      <c r="A123" s="274" t="s">
        <v>28</v>
      </c>
      <c r="B123" s="275"/>
      <c r="C123" s="275"/>
      <c r="E123" s="275"/>
      <c r="F123" s="98"/>
      <c r="G123" s="276"/>
      <c r="H123" s="276"/>
    </row>
    <row r="124" spans="1:10" ht="18.75" x14ac:dyDescent="0.3">
      <c r="A124" s="274" t="s">
        <v>29</v>
      </c>
      <c r="B124" s="277"/>
      <c r="C124" s="277"/>
      <c r="E124" s="277"/>
      <c r="F124" s="98"/>
      <c r="G124" s="278"/>
      <c r="H124" s="278"/>
    </row>
    <row r="125" spans="1:10" ht="18.75" x14ac:dyDescent="0.3">
      <c r="A125" s="202"/>
      <c r="B125" s="202"/>
      <c r="C125" s="203"/>
      <c r="D125" s="203"/>
      <c r="E125" s="203"/>
      <c r="F125" s="208"/>
      <c r="G125" s="203"/>
      <c r="H125" s="203"/>
      <c r="I125" s="98"/>
    </row>
    <row r="126" spans="1:10" ht="18.75" x14ac:dyDescent="0.3">
      <c r="A126" s="202"/>
      <c r="B126" s="202"/>
      <c r="C126" s="203"/>
      <c r="D126" s="203"/>
      <c r="E126" s="203"/>
      <c r="F126" s="208"/>
      <c r="G126" s="203"/>
      <c r="H126" s="203"/>
      <c r="I126" s="98"/>
    </row>
    <row r="127" spans="1:10" ht="18.75" x14ac:dyDescent="0.3">
      <c r="A127" s="202"/>
      <c r="B127" s="202"/>
      <c r="C127" s="203"/>
      <c r="D127" s="203"/>
      <c r="E127" s="203"/>
      <c r="F127" s="208"/>
      <c r="G127" s="203"/>
      <c r="H127" s="203"/>
      <c r="I127" s="98"/>
    </row>
    <row r="128" spans="1:10" ht="18.75" x14ac:dyDescent="0.3">
      <c r="A128" s="202"/>
      <c r="B128" s="202"/>
      <c r="C128" s="203"/>
      <c r="D128" s="203"/>
      <c r="E128" s="203"/>
      <c r="F128" s="208"/>
      <c r="G128" s="203"/>
      <c r="H128" s="203"/>
      <c r="I128" s="98"/>
    </row>
    <row r="129" spans="1:9" ht="18.75" x14ac:dyDescent="0.3">
      <c r="A129" s="202"/>
      <c r="B129" s="202"/>
      <c r="C129" s="203"/>
      <c r="D129" s="203"/>
      <c r="E129" s="203"/>
      <c r="F129" s="208"/>
      <c r="G129" s="203"/>
      <c r="H129" s="203"/>
      <c r="I129" s="98"/>
    </row>
    <row r="130" spans="1:9" ht="18.75" x14ac:dyDescent="0.3">
      <c r="A130" s="202"/>
      <c r="B130" s="202"/>
      <c r="C130" s="203"/>
      <c r="D130" s="203"/>
      <c r="E130" s="203"/>
      <c r="F130" s="208"/>
      <c r="G130" s="203"/>
      <c r="H130" s="203"/>
      <c r="I130" s="98"/>
    </row>
    <row r="131" spans="1:9" ht="18.75" x14ac:dyDescent="0.3">
      <c r="A131" s="202"/>
      <c r="B131" s="202"/>
      <c r="C131" s="203"/>
      <c r="D131" s="203"/>
      <c r="E131" s="203"/>
      <c r="F131" s="208"/>
      <c r="G131" s="203"/>
      <c r="H131" s="203"/>
      <c r="I131" s="98"/>
    </row>
    <row r="132" spans="1:9" ht="18.75" x14ac:dyDescent="0.3">
      <c r="A132" s="202"/>
      <c r="B132" s="202"/>
      <c r="C132" s="203"/>
      <c r="D132" s="203"/>
      <c r="E132" s="203"/>
      <c r="F132" s="208"/>
      <c r="G132" s="203"/>
      <c r="H132" s="203"/>
      <c r="I132" s="98"/>
    </row>
    <row r="133" spans="1:9" ht="18.75" x14ac:dyDescent="0.3">
      <c r="A133" s="202"/>
      <c r="B133" s="202"/>
      <c r="C133" s="203"/>
      <c r="D133" s="203"/>
      <c r="E133" s="203"/>
      <c r="F133" s="208"/>
      <c r="G133" s="203"/>
      <c r="H133" s="203"/>
      <c r="I133" s="98"/>
    </row>
    <row r="250" spans="1:1" x14ac:dyDescent="0.25">
      <c r="A250" s="2">
        <v>5</v>
      </c>
    </row>
  </sheetData>
  <sheetProtection formatCells="0" formatColumns="0" formatRows="0" insertColumns="0" insertRows="0" insertHyperlinks="0" deleteColumns="0" deleteRows="0" sort="0" autoFilter="0" pivotTables="0"/>
  <mergeCells count="34"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I39:I40"/>
    <mergeCell ref="A46:B47"/>
    <mergeCell ref="C60:C63"/>
    <mergeCell ref="D60:D63"/>
    <mergeCell ref="C64:C67"/>
    <mergeCell ref="D64:D67"/>
    <mergeCell ref="I92:I93"/>
    <mergeCell ref="A99:B100"/>
    <mergeCell ref="C68:C71"/>
    <mergeCell ref="D68:D71"/>
    <mergeCell ref="A70:B71"/>
    <mergeCell ref="C76:D76"/>
    <mergeCell ref="B79:C79"/>
    <mergeCell ref="B80:C80"/>
    <mergeCell ref="A117:B118"/>
    <mergeCell ref="C120:D120"/>
    <mergeCell ref="B122:C122"/>
    <mergeCell ref="G122:H122"/>
    <mergeCell ref="C82:G82"/>
    <mergeCell ref="C84:H84"/>
    <mergeCell ref="C85:H85"/>
    <mergeCell ref="F89:G89"/>
  </mergeCells>
  <conditionalFormatting sqref="E51">
    <cfRule type="cellIs" dxfId="15" priority="1" operator="greaterThan">
      <formula>0.02</formula>
    </cfRule>
  </conditionalFormatting>
  <conditionalFormatting sqref="D51">
    <cfRule type="cellIs" dxfId="14" priority="2" operator="greaterThan">
      <formula>0.02</formula>
    </cfRule>
  </conditionalFormatting>
  <conditionalFormatting sqref="H73">
    <cfRule type="cellIs" dxfId="13" priority="3" operator="greaterThan">
      <formula>0.02</formula>
    </cfRule>
  </conditionalFormatting>
  <conditionalFormatting sqref="D104">
    <cfRule type="cellIs" dxfId="12" priority="4" operator="greaterThan">
      <formula>0.02</formula>
    </cfRule>
  </conditionalFormatting>
  <conditionalFormatting sqref="I39">
    <cfRule type="cellIs" dxfId="11" priority="5" operator="lessThanOrEqual">
      <formula>0.02</formula>
    </cfRule>
  </conditionalFormatting>
  <conditionalFormatting sqref="I39">
    <cfRule type="cellIs" dxfId="10" priority="6" operator="greaterThan">
      <formula>0.02</formula>
    </cfRule>
  </conditionalFormatting>
  <conditionalFormatting sqref="I92">
    <cfRule type="cellIs" dxfId="9" priority="7" operator="lessThanOrEqual">
      <formula>0.02</formula>
    </cfRule>
  </conditionalFormatting>
  <conditionalFormatting sqref="I92">
    <cfRule type="cellIs" dxfId="8" priority="8" operator="greaterThan">
      <formula>0.02</formula>
    </cfRule>
  </conditionalFormatting>
  <pageMargins left="0.7" right="0.7" top="0.75" bottom="0.75" header="0.3" footer="0.3"/>
  <pageSetup scale="24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5:N250"/>
  <sheetViews>
    <sheetView tabSelected="1" view="pageBreakPreview" topLeftCell="C1" zoomScale="60" zoomScaleNormal="60" workbookViewId="0">
      <selection activeCell="H112" sqref="H112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5" spans="1:8" ht="19.5" customHeight="1" x14ac:dyDescent="0.3">
      <c r="A15" s="281"/>
    </row>
    <row r="16" spans="1:8" ht="19.5" customHeight="1" x14ac:dyDescent="0.3">
      <c r="A16" s="508" t="s">
        <v>30</v>
      </c>
      <c r="B16" s="509"/>
      <c r="C16" s="509"/>
      <c r="D16" s="509"/>
      <c r="E16" s="509"/>
      <c r="F16" s="509"/>
      <c r="G16" s="509"/>
      <c r="H16" s="510"/>
    </row>
    <row r="17" spans="1:14" ht="20.25" customHeight="1" x14ac:dyDescent="0.25">
      <c r="A17" s="511" t="s">
        <v>44</v>
      </c>
      <c r="B17" s="511"/>
      <c r="C17" s="511"/>
      <c r="D17" s="511"/>
      <c r="E17" s="511"/>
      <c r="F17" s="511"/>
      <c r="G17" s="511"/>
      <c r="H17" s="511"/>
    </row>
    <row r="18" spans="1:14" ht="26.25" customHeight="1" x14ac:dyDescent="0.4">
      <c r="A18" s="283" t="s">
        <v>32</v>
      </c>
      <c r="B18" s="507" t="s">
        <v>5</v>
      </c>
      <c r="C18" s="507"/>
      <c r="D18" s="463"/>
      <c r="E18" s="284"/>
      <c r="F18" s="285"/>
      <c r="G18" s="285"/>
      <c r="H18" s="285"/>
    </row>
    <row r="19" spans="1:14" ht="26.25" customHeight="1" x14ac:dyDescent="0.4">
      <c r="A19" s="283" t="s">
        <v>33</v>
      </c>
      <c r="B19" s="286" t="s">
        <v>7</v>
      </c>
      <c r="C19" s="285">
        <v>1</v>
      </c>
      <c r="D19" s="285"/>
      <c r="E19" s="285"/>
      <c r="F19" s="285"/>
      <c r="G19" s="285"/>
      <c r="H19" s="285"/>
    </row>
    <row r="20" spans="1:14" ht="26.25" customHeight="1" x14ac:dyDescent="0.4">
      <c r="A20" s="283" t="s">
        <v>34</v>
      </c>
      <c r="B20" s="512" t="s">
        <v>9</v>
      </c>
      <c r="C20" s="512"/>
      <c r="D20" s="285"/>
      <c r="E20" s="285"/>
      <c r="F20" s="285"/>
      <c r="G20" s="285"/>
      <c r="H20" s="285"/>
    </row>
    <row r="21" spans="1:14" ht="26.25" customHeight="1" x14ac:dyDescent="0.4">
      <c r="A21" s="283" t="s">
        <v>35</v>
      </c>
      <c r="B21" s="512" t="s">
        <v>9</v>
      </c>
      <c r="C21" s="512"/>
      <c r="D21" s="512"/>
      <c r="E21" s="512"/>
      <c r="F21" s="512"/>
      <c r="G21" s="512"/>
      <c r="H21" s="512"/>
      <c r="I21" s="287"/>
    </row>
    <row r="22" spans="1:14" ht="26.25" customHeight="1" x14ac:dyDescent="0.4">
      <c r="A22" s="283" t="s">
        <v>36</v>
      </c>
      <c r="B22" s="288" t="s">
        <v>123</v>
      </c>
      <c r="C22" s="285"/>
      <c r="D22" s="285"/>
      <c r="E22" s="285"/>
      <c r="F22" s="285"/>
      <c r="G22" s="285"/>
      <c r="H22" s="285"/>
    </row>
    <row r="23" spans="1:14" ht="26.25" customHeight="1" x14ac:dyDescent="0.4">
      <c r="A23" s="283" t="s">
        <v>37</v>
      </c>
      <c r="B23" s="288"/>
      <c r="C23" s="285"/>
      <c r="D23" s="285"/>
      <c r="E23" s="285"/>
      <c r="F23" s="285"/>
      <c r="G23" s="285"/>
      <c r="H23" s="285"/>
    </row>
    <row r="24" spans="1:14" ht="18.75" x14ac:dyDescent="0.3">
      <c r="A24" s="283"/>
      <c r="B24" s="289"/>
    </row>
    <row r="25" spans="1:14" ht="18.75" x14ac:dyDescent="0.3">
      <c r="A25" s="290" t="s">
        <v>1</v>
      </c>
      <c r="B25" s="289"/>
    </row>
    <row r="26" spans="1:14" ht="26.25" customHeight="1" x14ac:dyDescent="0.4">
      <c r="A26" s="291" t="s">
        <v>4</v>
      </c>
      <c r="B26" s="507" t="s">
        <v>124</v>
      </c>
      <c r="C26" s="507"/>
    </row>
    <row r="27" spans="1:14" ht="26.25" customHeight="1" x14ac:dyDescent="0.4">
      <c r="A27" s="292" t="s">
        <v>46</v>
      </c>
      <c r="B27" s="505" t="s">
        <v>125</v>
      </c>
      <c r="C27" s="505"/>
    </row>
    <row r="28" spans="1:14" ht="27" customHeight="1" x14ac:dyDescent="0.4">
      <c r="A28" s="292" t="s">
        <v>6</v>
      </c>
      <c r="B28" s="293">
        <v>99.66</v>
      </c>
    </row>
    <row r="29" spans="1:14" s="14" customFormat="1" ht="27" customHeight="1" x14ac:dyDescent="0.4">
      <c r="A29" s="292" t="s">
        <v>47</v>
      </c>
      <c r="B29" s="294"/>
      <c r="C29" s="482" t="s">
        <v>48</v>
      </c>
      <c r="D29" s="483"/>
      <c r="E29" s="483"/>
      <c r="F29" s="483"/>
      <c r="G29" s="484"/>
      <c r="I29" s="295"/>
      <c r="J29" s="295"/>
      <c r="K29" s="295"/>
      <c r="L29" s="295"/>
    </row>
    <row r="30" spans="1:14" s="14" customFormat="1" ht="19.5" customHeight="1" x14ac:dyDescent="0.3">
      <c r="A30" s="292" t="s">
        <v>49</v>
      </c>
      <c r="B30" s="296">
        <f>B28-B29</f>
        <v>99.66</v>
      </c>
      <c r="C30" s="297"/>
      <c r="D30" s="297"/>
      <c r="E30" s="297"/>
      <c r="F30" s="297"/>
      <c r="G30" s="298"/>
      <c r="I30" s="295"/>
      <c r="J30" s="295"/>
      <c r="K30" s="295"/>
      <c r="L30" s="295"/>
    </row>
    <row r="31" spans="1:14" s="14" customFormat="1" ht="27" customHeight="1" x14ac:dyDescent="0.4">
      <c r="A31" s="292" t="s">
        <v>50</v>
      </c>
      <c r="B31" s="299">
        <v>1</v>
      </c>
      <c r="C31" s="485" t="s">
        <v>51</v>
      </c>
      <c r="D31" s="486"/>
      <c r="E31" s="486"/>
      <c r="F31" s="486"/>
      <c r="G31" s="486"/>
      <c r="H31" s="487"/>
      <c r="I31" s="295"/>
      <c r="J31" s="295"/>
      <c r="K31" s="295"/>
      <c r="L31" s="295"/>
    </row>
    <row r="32" spans="1:14" s="14" customFormat="1" ht="27" customHeight="1" x14ac:dyDescent="0.4">
      <c r="A32" s="292" t="s">
        <v>52</v>
      </c>
      <c r="B32" s="299">
        <v>1</v>
      </c>
      <c r="C32" s="485" t="s">
        <v>53</v>
      </c>
      <c r="D32" s="486"/>
      <c r="E32" s="486"/>
      <c r="F32" s="486"/>
      <c r="G32" s="486"/>
      <c r="H32" s="487"/>
      <c r="I32" s="295"/>
      <c r="J32" s="295"/>
      <c r="K32" s="295"/>
      <c r="L32" s="300"/>
      <c r="M32" s="300"/>
      <c r="N32" s="301"/>
    </row>
    <row r="33" spans="1:14" s="14" customFormat="1" ht="17.25" customHeight="1" x14ac:dyDescent="0.3">
      <c r="A33" s="292"/>
      <c r="B33" s="302"/>
      <c r="C33" s="303"/>
      <c r="D33" s="303"/>
      <c r="E33" s="303"/>
      <c r="F33" s="303"/>
      <c r="G33" s="303"/>
      <c r="H33" s="303"/>
      <c r="I33" s="295"/>
      <c r="J33" s="295"/>
      <c r="K33" s="295"/>
      <c r="L33" s="300"/>
      <c r="M33" s="300"/>
      <c r="N33" s="301"/>
    </row>
    <row r="34" spans="1:14" s="14" customFormat="1" ht="18.75" x14ac:dyDescent="0.3">
      <c r="A34" s="292" t="s">
        <v>54</v>
      </c>
      <c r="B34" s="304">
        <f>B31/B32</f>
        <v>1</v>
      </c>
      <c r="C34" s="282" t="s">
        <v>55</v>
      </c>
      <c r="D34" s="282"/>
      <c r="E34" s="282"/>
      <c r="F34" s="282"/>
      <c r="G34" s="282"/>
      <c r="I34" s="295"/>
      <c r="J34" s="295"/>
      <c r="K34" s="295"/>
      <c r="L34" s="300"/>
      <c r="M34" s="300"/>
      <c r="N34" s="301"/>
    </row>
    <row r="35" spans="1:14" s="14" customFormat="1" ht="19.5" customHeight="1" x14ac:dyDescent="0.3">
      <c r="A35" s="292"/>
      <c r="B35" s="296"/>
      <c r="G35" s="282"/>
      <c r="I35" s="295"/>
      <c r="J35" s="295"/>
      <c r="K35" s="295"/>
      <c r="L35" s="300"/>
      <c r="M35" s="300"/>
      <c r="N35" s="301"/>
    </row>
    <row r="36" spans="1:14" s="14" customFormat="1" ht="27" customHeight="1" x14ac:dyDescent="0.4">
      <c r="A36" s="305" t="s">
        <v>56</v>
      </c>
      <c r="B36" s="306">
        <v>50</v>
      </c>
      <c r="C36" s="282"/>
      <c r="D36" s="488" t="s">
        <v>57</v>
      </c>
      <c r="E36" s="506"/>
      <c r="F36" s="488" t="s">
        <v>58</v>
      </c>
      <c r="G36" s="489"/>
      <c r="J36" s="295"/>
      <c r="K36" s="295"/>
      <c r="L36" s="300"/>
      <c r="M36" s="300"/>
      <c r="N36" s="301"/>
    </row>
    <row r="37" spans="1:14" s="14" customFormat="1" ht="27" customHeight="1" x14ac:dyDescent="0.4">
      <c r="A37" s="307" t="s">
        <v>59</v>
      </c>
      <c r="B37" s="308">
        <v>2</v>
      </c>
      <c r="C37" s="309" t="s">
        <v>60</v>
      </c>
      <c r="D37" s="310" t="s">
        <v>61</v>
      </c>
      <c r="E37" s="311" t="s">
        <v>62</v>
      </c>
      <c r="F37" s="310" t="s">
        <v>61</v>
      </c>
      <c r="G37" s="312" t="s">
        <v>62</v>
      </c>
      <c r="I37" s="313" t="s">
        <v>63</v>
      </c>
      <c r="J37" s="295"/>
      <c r="K37" s="295"/>
      <c r="L37" s="300"/>
      <c r="M37" s="300"/>
      <c r="N37" s="301"/>
    </row>
    <row r="38" spans="1:14" s="14" customFormat="1" ht="26.25" customHeight="1" x14ac:dyDescent="0.4">
      <c r="A38" s="307" t="s">
        <v>64</v>
      </c>
      <c r="B38" s="308">
        <v>20</v>
      </c>
      <c r="C38" s="314">
        <v>1</v>
      </c>
      <c r="D38" s="315">
        <v>10164667</v>
      </c>
      <c r="E38" s="316">
        <f>IF(ISBLANK(D38),"-",$D$48/$D$45*D38)</f>
        <v>9999357.6198289879</v>
      </c>
      <c r="F38" s="315">
        <v>9493275</v>
      </c>
      <c r="G38" s="317">
        <f>IF(ISBLANK(F38),"-",$D$48/$F$45*F38)</f>
        <v>9922564.8454746157</v>
      </c>
      <c r="I38" s="318"/>
      <c r="J38" s="295"/>
      <c r="K38" s="295"/>
      <c r="L38" s="300"/>
      <c r="M38" s="300"/>
      <c r="N38" s="301"/>
    </row>
    <row r="39" spans="1:14" s="14" customFormat="1" ht="26.25" customHeight="1" x14ac:dyDescent="0.4">
      <c r="A39" s="307" t="s">
        <v>65</v>
      </c>
      <c r="B39" s="308">
        <v>1</v>
      </c>
      <c r="C39" s="319">
        <v>2</v>
      </c>
      <c r="D39" s="320">
        <v>10178037</v>
      </c>
      <c r="E39" s="321">
        <f>IF(ISBLANK(D39),"-",$D$48/$D$45*D39)</f>
        <v>10012510.181676524</v>
      </c>
      <c r="F39" s="320">
        <v>9512842</v>
      </c>
      <c r="G39" s="322">
        <f>IF(ISBLANK(F39),"-",$D$48/$F$45*F39)</f>
        <v>9943016.6733560786</v>
      </c>
      <c r="I39" s="490">
        <f>ABS((F43/D43*D42)-F42)/D42</f>
        <v>6.6695056026253169E-3</v>
      </c>
      <c r="J39" s="295"/>
      <c r="K39" s="295"/>
      <c r="L39" s="300"/>
      <c r="M39" s="300"/>
      <c r="N39" s="301"/>
    </row>
    <row r="40" spans="1:14" ht="26.25" customHeight="1" x14ac:dyDescent="0.4">
      <c r="A40" s="307" t="s">
        <v>66</v>
      </c>
      <c r="B40" s="308">
        <v>1</v>
      </c>
      <c r="C40" s="319">
        <v>3</v>
      </c>
      <c r="D40" s="320">
        <v>10162097</v>
      </c>
      <c r="E40" s="321">
        <f>IF(ISBLANK(D40),"-",$D$48/$D$45*D40)</f>
        <v>9996829.4160931483</v>
      </c>
      <c r="F40" s="320">
        <v>9500832</v>
      </c>
      <c r="G40" s="322">
        <f>IF(ISBLANK(F40),"-",$D$48/$F$45*F40)</f>
        <v>9930463.5761589427</v>
      </c>
      <c r="I40" s="490"/>
      <c r="L40" s="300"/>
      <c r="M40" s="300"/>
      <c r="N40" s="323"/>
    </row>
    <row r="41" spans="1:14" ht="27" customHeight="1" x14ac:dyDescent="0.4">
      <c r="A41" s="307" t="s">
        <v>67</v>
      </c>
      <c r="B41" s="308">
        <v>1</v>
      </c>
      <c r="C41" s="324">
        <v>4</v>
      </c>
      <c r="D41" s="325"/>
      <c r="E41" s="326" t="str">
        <f>IF(ISBLANK(D41),"-",$D$48/$D$45*D41)</f>
        <v>-</v>
      </c>
      <c r="F41" s="325"/>
      <c r="G41" s="327" t="str">
        <f>IF(ISBLANK(F41),"-",$D$48/$F$45*F41)</f>
        <v>-</v>
      </c>
      <c r="I41" s="328"/>
      <c r="L41" s="300"/>
      <c r="M41" s="300"/>
      <c r="N41" s="323"/>
    </row>
    <row r="42" spans="1:14" ht="27" customHeight="1" x14ac:dyDescent="0.4">
      <c r="A42" s="307" t="s">
        <v>68</v>
      </c>
      <c r="B42" s="308">
        <v>1</v>
      </c>
      <c r="C42" s="329" t="s">
        <v>69</v>
      </c>
      <c r="D42" s="330">
        <f>AVERAGE(D38:D41)</f>
        <v>10168267</v>
      </c>
      <c r="E42" s="331">
        <f>AVERAGE(E38:E41)</f>
        <v>10002899.072532887</v>
      </c>
      <c r="F42" s="330">
        <f>AVERAGE(F38:F41)</f>
        <v>9502316.333333334</v>
      </c>
      <c r="G42" s="332">
        <f>AVERAGE(G38:G41)</f>
        <v>9932015.0316632111</v>
      </c>
      <c r="H42" s="333"/>
    </row>
    <row r="43" spans="1:14" ht="26.25" customHeight="1" x14ac:dyDescent="0.4">
      <c r="A43" s="307" t="s">
        <v>70</v>
      </c>
      <c r="B43" s="308">
        <v>1</v>
      </c>
      <c r="C43" s="334" t="s">
        <v>71</v>
      </c>
      <c r="D43" s="335">
        <v>16.32</v>
      </c>
      <c r="E43" s="323"/>
      <c r="F43" s="335">
        <v>15.36</v>
      </c>
      <c r="H43" s="333"/>
    </row>
    <row r="44" spans="1:14" ht="26.25" customHeight="1" x14ac:dyDescent="0.4">
      <c r="A44" s="307" t="s">
        <v>72</v>
      </c>
      <c r="B44" s="308">
        <v>1</v>
      </c>
      <c r="C44" s="336" t="s">
        <v>73</v>
      </c>
      <c r="D44" s="337">
        <f>D43*$B$34</f>
        <v>16.32</v>
      </c>
      <c r="E44" s="338"/>
      <c r="F44" s="337">
        <f>F43*$B$34</f>
        <v>15.36</v>
      </c>
      <c r="H44" s="333"/>
    </row>
    <row r="45" spans="1:14" ht="19.5" customHeight="1" x14ac:dyDescent="0.3">
      <c r="A45" s="307" t="s">
        <v>74</v>
      </c>
      <c r="B45" s="339">
        <f>(B44/B43)*(B42/B41)*(B40/B39)*(B38/B37)*B36</f>
        <v>500</v>
      </c>
      <c r="C45" s="336" t="s">
        <v>75</v>
      </c>
      <c r="D45" s="340">
        <f>D44*$B$30/100</f>
        <v>16.264512</v>
      </c>
      <c r="E45" s="341"/>
      <c r="F45" s="340">
        <f>F44*$B$30/100</f>
        <v>15.307775999999999</v>
      </c>
      <c r="H45" s="333"/>
    </row>
    <row r="46" spans="1:14" ht="19.5" customHeight="1" x14ac:dyDescent="0.3">
      <c r="A46" s="476" t="s">
        <v>76</v>
      </c>
      <c r="B46" s="477"/>
      <c r="C46" s="336" t="s">
        <v>77</v>
      </c>
      <c r="D46" s="342">
        <f>D45/$B$45</f>
        <v>3.2529023999999997E-2</v>
      </c>
      <c r="E46" s="343"/>
      <c r="F46" s="344">
        <f>F45/$B$45</f>
        <v>3.0615551999999997E-2</v>
      </c>
      <c r="H46" s="333"/>
    </row>
    <row r="47" spans="1:14" ht="27" customHeight="1" x14ac:dyDescent="0.4">
      <c r="A47" s="478"/>
      <c r="B47" s="479"/>
      <c r="C47" s="345" t="s">
        <v>78</v>
      </c>
      <c r="D47" s="346">
        <v>3.2000000000000001E-2</v>
      </c>
      <c r="E47" s="347"/>
      <c r="F47" s="343"/>
      <c r="H47" s="333"/>
    </row>
    <row r="48" spans="1:14" ht="18.75" x14ac:dyDescent="0.3">
      <c r="C48" s="348" t="s">
        <v>79</v>
      </c>
      <c r="D48" s="340">
        <f>D47*$B$45</f>
        <v>16</v>
      </c>
      <c r="F48" s="349"/>
      <c r="H48" s="333"/>
    </row>
    <row r="49" spans="1:12" ht="19.5" customHeight="1" x14ac:dyDescent="0.3">
      <c r="C49" s="350" t="s">
        <v>80</v>
      </c>
      <c r="D49" s="351">
        <f>D48/B34</f>
        <v>16</v>
      </c>
      <c r="F49" s="349"/>
      <c r="H49" s="333"/>
    </row>
    <row r="50" spans="1:12" ht="18.75" x14ac:dyDescent="0.3">
      <c r="C50" s="305" t="s">
        <v>81</v>
      </c>
      <c r="D50" s="352">
        <f>AVERAGE(E38:E41,G38:G41)</f>
        <v>9967457.0520980489</v>
      </c>
      <c r="F50" s="353"/>
      <c r="H50" s="333"/>
    </row>
    <row r="51" spans="1:12" ht="18.75" x14ac:dyDescent="0.3">
      <c r="C51" s="307" t="s">
        <v>82</v>
      </c>
      <c r="D51" s="354">
        <f>STDEV(E38:E41,G38:G41)/D50</f>
        <v>3.985709291027999E-3</v>
      </c>
      <c r="F51" s="353"/>
      <c r="H51" s="333"/>
    </row>
    <row r="52" spans="1:12" ht="19.5" customHeight="1" x14ac:dyDescent="0.3">
      <c r="C52" s="355" t="s">
        <v>19</v>
      </c>
      <c r="D52" s="356">
        <f>COUNT(E38:E41,G38:G41)</f>
        <v>6</v>
      </c>
      <c r="F52" s="353"/>
    </row>
    <row r="54" spans="1:12" ht="18.75" x14ac:dyDescent="0.3">
      <c r="A54" s="357" t="s">
        <v>1</v>
      </c>
      <c r="B54" s="358" t="s">
        <v>83</v>
      </c>
    </row>
    <row r="55" spans="1:12" ht="18.75" x14ac:dyDescent="0.3">
      <c r="A55" s="282" t="s">
        <v>84</v>
      </c>
      <c r="B55" s="359" t="str">
        <f>B21</f>
        <v>Sulphamethoxazole 800 mg, Trimethoprim 160 mg</v>
      </c>
    </row>
    <row r="56" spans="1:12" ht="26.25" customHeight="1" x14ac:dyDescent="0.4">
      <c r="A56" s="360" t="s">
        <v>85</v>
      </c>
      <c r="B56" s="361">
        <v>160</v>
      </c>
      <c r="C56" s="282" t="str">
        <f>B20</f>
        <v>Sulphamethoxazole 800 mg, Trimethoprim 160 mg</v>
      </c>
      <c r="H56" s="362"/>
    </row>
    <row r="57" spans="1:12" ht="18.75" x14ac:dyDescent="0.3">
      <c r="A57" s="359" t="s">
        <v>86</v>
      </c>
      <c r="B57" s="363">
        <f>Uniformity!C46</f>
        <v>1043.8885000000002</v>
      </c>
      <c r="H57" s="362"/>
    </row>
    <row r="58" spans="1:12" ht="19.5" customHeight="1" x14ac:dyDescent="0.3">
      <c r="H58" s="362"/>
    </row>
    <row r="59" spans="1:12" s="14" customFormat="1" ht="27" customHeight="1" x14ac:dyDescent="0.4">
      <c r="A59" s="305" t="s">
        <v>87</v>
      </c>
      <c r="B59" s="306">
        <v>100</v>
      </c>
      <c r="C59" s="282"/>
      <c r="D59" s="364" t="s">
        <v>88</v>
      </c>
      <c r="E59" s="365" t="s">
        <v>60</v>
      </c>
      <c r="F59" s="365" t="s">
        <v>61</v>
      </c>
      <c r="G59" s="365" t="s">
        <v>89</v>
      </c>
      <c r="H59" s="309" t="s">
        <v>90</v>
      </c>
      <c r="L59" s="295"/>
    </row>
    <row r="60" spans="1:12" s="14" customFormat="1" ht="26.25" customHeight="1" x14ac:dyDescent="0.4">
      <c r="A60" s="307" t="s">
        <v>91</v>
      </c>
      <c r="B60" s="308">
        <v>2</v>
      </c>
      <c r="C60" s="493" t="s">
        <v>92</v>
      </c>
      <c r="D60" s="496">
        <v>521.16</v>
      </c>
      <c r="E60" s="366">
        <v>1</v>
      </c>
      <c r="F60" s="367">
        <v>9850896</v>
      </c>
      <c r="G60" s="368">
        <f>IF(ISBLANK(F60),"-",(F60/$D$50*$D$47*$B$68)*($B$57/$D$60))</f>
        <v>158.36688914518584</v>
      </c>
      <c r="H60" s="369">
        <f t="shared" ref="H60:H71" si="0">IF(ISBLANK(F60),"-",G60/$B$56)</f>
        <v>0.9897930571574115</v>
      </c>
      <c r="L60" s="295"/>
    </row>
    <row r="61" spans="1:12" s="14" customFormat="1" ht="26.25" customHeight="1" x14ac:dyDescent="0.4">
      <c r="A61" s="307" t="s">
        <v>93</v>
      </c>
      <c r="B61" s="308">
        <v>50</v>
      </c>
      <c r="C61" s="494"/>
      <c r="D61" s="497"/>
      <c r="E61" s="370">
        <v>2</v>
      </c>
      <c r="F61" s="320">
        <v>9921197</v>
      </c>
      <c r="G61" s="371">
        <f>IF(ISBLANK(F61),"-",(F61/$D$50*$D$47*$B$68)*($B$57/$D$60))</f>
        <v>159.49707574687119</v>
      </c>
      <c r="H61" s="372">
        <f t="shared" si="0"/>
        <v>0.99685672341794496</v>
      </c>
      <c r="L61" s="295"/>
    </row>
    <row r="62" spans="1:12" s="14" customFormat="1" ht="26.25" customHeight="1" x14ac:dyDescent="0.4">
      <c r="A62" s="307" t="s">
        <v>94</v>
      </c>
      <c r="B62" s="308">
        <v>1</v>
      </c>
      <c r="C62" s="494"/>
      <c r="D62" s="497"/>
      <c r="E62" s="370">
        <v>3</v>
      </c>
      <c r="F62" s="373">
        <v>9920140</v>
      </c>
      <c r="G62" s="371">
        <f>IF(ISBLANK(F62),"-",(F62/$D$50*$D$47*$B$68)*($B$57/$D$60))</f>
        <v>159.48008299800586</v>
      </c>
      <c r="H62" s="372">
        <f t="shared" si="0"/>
        <v>0.99675051873753662</v>
      </c>
      <c r="L62" s="295"/>
    </row>
    <row r="63" spans="1:12" ht="27" customHeight="1" x14ac:dyDescent="0.4">
      <c r="A63" s="307" t="s">
        <v>95</v>
      </c>
      <c r="B63" s="308">
        <v>1</v>
      </c>
      <c r="C63" s="504"/>
      <c r="D63" s="498"/>
      <c r="E63" s="374">
        <v>4</v>
      </c>
      <c r="F63" s="375"/>
      <c r="G63" s="371" t="str">
        <f>IF(ISBLANK(F63),"-",(F63/$D$50*$D$47*$B$68)*($B$57/$D$60))</f>
        <v>-</v>
      </c>
      <c r="H63" s="372" t="str">
        <f t="shared" si="0"/>
        <v>-</v>
      </c>
    </row>
    <row r="64" spans="1:12" ht="26.25" customHeight="1" x14ac:dyDescent="0.4">
      <c r="A64" s="307" t="s">
        <v>96</v>
      </c>
      <c r="B64" s="308">
        <v>1</v>
      </c>
      <c r="C64" s="493" t="s">
        <v>97</v>
      </c>
      <c r="D64" s="496">
        <v>520.29</v>
      </c>
      <c r="E64" s="366">
        <v>1</v>
      </c>
      <c r="F64" s="367">
        <v>9819308</v>
      </c>
      <c r="G64" s="376">
        <f>IF(ISBLANK(F64),"-",(F64/$D$50*$D$47*$B$68)*($B$57/$D$64))</f>
        <v>158.12303115288893</v>
      </c>
      <c r="H64" s="377">
        <f t="shared" si="0"/>
        <v>0.98826894470555582</v>
      </c>
    </row>
    <row r="65" spans="1:8" ht="26.25" customHeight="1" x14ac:dyDescent="0.4">
      <c r="A65" s="307" t="s">
        <v>98</v>
      </c>
      <c r="B65" s="308">
        <v>1</v>
      </c>
      <c r="C65" s="494"/>
      <c r="D65" s="497"/>
      <c r="E65" s="370">
        <v>2</v>
      </c>
      <c r="F65" s="320">
        <v>9838082</v>
      </c>
      <c r="G65" s="378">
        <f>IF(ISBLANK(F65),"-",(F65/$D$50*$D$47*$B$68)*($B$57/$D$64))</f>
        <v>158.42535406473405</v>
      </c>
      <c r="H65" s="379">
        <f t="shared" si="0"/>
        <v>0.99015846290458787</v>
      </c>
    </row>
    <row r="66" spans="1:8" ht="26.25" customHeight="1" x14ac:dyDescent="0.4">
      <c r="A66" s="307" t="s">
        <v>99</v>
      </c>
      <c r="B66" s="308">
        <v>1</v>
      </c>
      <c r="C66" s="494"/>
      <c r="D66" s="497"/>
      <c r="E66" s="370">
        <v>3</v>
      </c>
      <c r="F66" s="320">
        <v>9853954</v>
      </c>
      <c r="G66" s="378">
        <f>IF(ISBLANK(F66),"-",(F66/$D$50*$D$47*$B$68)*($B$57/$D$64))</f>
        <v>158.68094526835642</v>
      </c>
      <c r="H66" s="379">
        <f t="shared" si="0"/>
        <v>0.99175590792722768</v>
      </c>
    </row>
    <row r="67" spans="1:8" ht="27" customHeight="1" x14ac:dyDescent="0.4">
      <c r="A67" s="307" t="s">
        <v>100</v>
      </c>
      <c r="B67" s="308">
        <v>1</v>
      </c>
      <c r="C67" s="504"/>
      <c r="D67" s="498"/>
      <c r="E67" s="374">
        <v>4</v>
      </c>
      <c r="F67" s="375"/>
      <c r="G67" s="380" t="str">
        <f>IF(ISBLANK(F67),"-",(F67/$D$50*$D$47*$B$68)*($B$57/$D$64))</f>
        <v>-</v>
      </c>
      <c r="H67" s="381" t="str">
        <f t="shared" si="0"/>
        <v>-</v>
      </c>
    </row>
    <row r="68" spans="1:8" ht="26.25" customHeight="1" x14ac:dyDescent="0.4">
      <c r="A68" s="307" t="s">
        <v>101</v>
      </c>
      <c r="B68" s="382">
        <f>(B67/B66)*(B65/B64)*(B63/B62)*(B61/B60)*B59</f>
        <v>2500</v>
      </c>
      <c r="C68" s="493" t="s">
        <v>102</v>
      </c>
      <c r="D68" s="496">
        <v>523.99</v>
      </c>
      <c r="E68" s="366">
        <v>1</v>
      </c>
      <c r="F68" s="367">
        <v>9737222</v>
      </c>
      <c r="G68" s="376">
        <f>IF(ISBLANK(F68),"-",(F68/$D$50*$D$47*$B$68)*($B$57/$D$68))</f>
        <v>155.69397258568443</v>
      </c>
      <c r="H68" s="372">
        <f t="shared" si="0"/>
        <v>0.97308732866052772</v>
      </c>
    </row>
    <row r="69" spans="1:8" ht="27" customHeight="1" x14ac:dyDescent="0.4">
      <c r="A69" s="355" t="s">
        <v>103</v>
      </c>
      <c r="B69" s="383">
        <f>(D47*B68)/B56*B57</f>
        <v>521.94425000000012</v>
      </c>
      <c r="C69" s="494"/>
      <c r="D69" s="497"/>
      <c r="E69" s="370">
        <v>2</v>
      </c>
      <c r="F69" s="320">
        <v>9780165</v>
      </c>
      <c r="G69" s="378">
        <f>IF(ISBLANK(F69),"-",(F69/$D$50*$D$47*$B$68)*($B$57/$D$68))</f>
        <v>156.38061260115771</v>
      </c>
      <c r="H69" s="372">
        <f t="shared" si="0"/>
        <v>0.9773788287572357</v>
      </c>
    </row>
    <row r="70" spans="1:8" ht="26.25" customHeight="1" x14ac:dyDescent="0.4">
      <c r="A70" s="499" t="s">
        <v>76</v>
      </c>
      <c r="B70" s="500"/>
      <c r="C70" s="494"/>
      <c r="D70" s="497"/>
      <c r="E70" s="370">
        <v>3</v>
      </c>
      <c r="F70" s="320">
        <v>9902271</v>
      </c>
      <c r="G70" s="378">
        <f>IF(ISBLANK(F70),"-",(F70/$D$50*$D$47*$B$68)*($B$57/$D$68))</f>
        <v>158.33303478240691</v>
      </c>
      <c r="H70" s="372">
        <f t="shared" si="0"/>
        <v>0.98958146739004316</v>
      </c>
    </row>
    <row r="71" spans="1:8" ht="27" customHeight="1" x14ac:dyDescent="0.4">
      <c r="A71" s="501"/>
      <c r="B71" s="502"/>
      <c r="C71" s="495"/>
      <c r="D71" s="498"/>
      <c r="E71" s="374">
        <v>4</v>
      </c>
      <c r="F71" s="375"/>
      <c r="G71" s="380" t="str">
        <f>IF(ISBLANK(F71),"-",(F71/$D$50*$D$47*$B$68)*($B$57/$D$68))</f>
        <v>-</v>
      </c>
      <c r="H71" s="384" t="str">
        <f t="shared" si="0"/>
        <v>-</v>
      </c>
    </row>
    <row r="72" spans="1:8" ht="26.25" customHeight="1" x14ac:dyDescent="0.4">
      <c r="A72" s="385"/>
      <c r="B72" s="385"/>
      <c r="C72" s="385"/>
      <c r="D72" s="385"/>
      <c r="E72" s="385"/>
      <c r="F72" s="386"/>
      <c r="G72" s="387" t="s">
        <v>69</v>
      </c>
      <c r="H72" s="388">
        <f>AVERAGE(H60:H71)</f>
        <v>0.98818124885089687</v>
      </c>
    </row>
    <row r="73" spans="1:8" ht="26.25" customHeight="1" x14ac:dyDescent="0.4">
      <c r="C73" s="385"/>
      <c r="D73" s="385"/>
      <c r="E73" s="385"/>
      <c r="F73" s="386"/>
      <c r="G73" s="389" t="s">
        <v>82</v>
      </c>
      <c r="H73" s="390">
        <f>STDEV(H60:H71)/H72</f>
        <v>8.1151750993930499E-3</v>
      </c>
    </row>
    <row r="74" spans="1:8" ht="27" customHeight="1" x14ac:dyDescent="0.4">
      <c r="A74" s="385"/>
      <c r="B74" s="385"/>
      <c r="C74" s="386"/>
      <c r="D74" s="386"/>
      <c r="E74" s="391"/>
      <c r="F74" s="386"/>
      <c r="G74" s="392" t="s">
        <v>19</v>
      </c>
      <c r="H74" s="393">
        <f>COUNT(H60:H71)</f>
        <v>9</v>
      </c>
    </row>
    <row r="76" spans="1:8" ht="26.25" customHeight="1" x14ac:dyDescent="0.4">
      <c r="A76" s="291" t="s">
        <v>104</v>
      </c>
      <c r="B76" s="394" t="s">
        <v>105</v>
      </c>
      <c r="C76" s="480" t="str">
        <f>B20</f>
        <v>Sulphamethoxazole 800 mg, Trimethoprim 160 mg</v>
      </c>
      <c r="D76" s="480"/>
      <c r="E76" s="395" t="s">
        <v>106</v>
      </c>
      <c r="F76" s="395"/>
      <c r="G76" s="396">
        <f>H72</f>
        <v>0.98818124885089687</v>
      </c>
      <c r="H76" s="397"/>
    </row>
    <row r="77" spans="1:8" ht="18.75" x14ac:dyDescent="0.3">
      <c r="A77" s="290" t="s">
        <v>107</v>
      </c>
      <c r="B77" s="290" t="s">
        <v>108</v>
      </c>
    </row>
    <row r="78" spans="1:8" ht="18.75" x14ac:dyDescent="0.3">
      <c r="A78" s="290"/>
      <c r="B78" s="290"/>
    </row>
    <row r="79" spans="1:8" ht="26.25" customHeight="1" x14ac:dyDescent="0.4">
      <c r="A79" s="291" t="s">
        <v>4</v>
      </c>
      <c r="B79" s="503" t="str">
        <f>B26</f>
        <v>Trimethoprim</v>
      </c>
      <c r="C79" s="503"/>
    </row>
    <row r="80" spans="1:8" ht="26.25" customHeight="1" x14ac:dyDescent="0.4">
      <c r="A80" s="292" t="s">
        <v>46</v>
      </c>
      <c r="B80" s="503" t="str">
        <f>B27</f>
        <v>T7 -2</v>
      </c>
      <c r="C80" s="503"/>
    </row>
    <row r="81" spans="1:12" ht="27" customHeight="1" x14ac:dyDescent="0.4">
      <c r="A81" s="292" t="s">
        <v>6</v>
      </c>
      <c r="B81" s="398">
        <f>B28</f>
        <v>99.66</v>
      </c>
    </row>
    <row r="82" spans="1:12" s="14" customFormat="1" ht="27" customHeight="1" x14ac:dyDescent="0.4">
      <c r="A82" s="292" t="s">
        <v>47</v>
      </c>
      <c r="B82" s="294">
        <v>0</v>
      </c>
      <c r="C82" s="482" t="s">
        <v>48</v>
      </c>
      <c r="D82" s="483"/>
      <c r="E82" s="483"/>
      <c r="F82" s="483"/>
      <c r="G82" s="484"/>
      <c r="I82" s="295"/>
      <c r="J82" s="295"/>
      <c r="K82" s="295"/>
      <c r="L82" s="295"/>
    </row>
    <row r="83" spans="1:12" s="14" customFormat="1" ht="19.5" customHeight="1" x14ac:dyDescent="0.3">
      <c r="A83" s="292" t="s">
        <v>49</v>
      </c>
      <c r="B83" s="296">
        <f>B81-B82</f>
        <v>99.66</v>
      </c>
      <c r="C83" s="297"/>
      <c r="D83" s="297"/>
      <c r="E83" s="297"/>
      <c r="F83" s="297"/>
      <c r="G83" s="298"/>
      <c r="I83" s="295"/>
      <c r="J83" s="295"/>
      <c r="K83" s="295"/>
      <c r="L83" s="295"/>
    </row>
    <row r="84" spans="1:12" s="14" customFormat="1" ht="27" customHeight="1" x14ac:dyDescent="0.4">
      <c r="A84" s="292" t="s">
        <v>50</v>
      </c>
      <c r="B84" s="299">
        <v>1</v>
      </c>
      <c r="C84" s="485" t="s">
        <v>109</v>
      </c>
      <c r="D84" s="486"/>
      <c r="E84" s="486"/>
      <c r="F84" s="486"/>
      <c r="G84" s="486"/>
      <c r="H84" s="487"/>
      <c r="I84" s="295"/>
      <c r="J84" s="295"/>
      <c r="K84" s="295"/>
      <c r="L84" s="295"/>
    </row>
    <row r="85" spans="1:12" s="14" customFormat="1" ht="27" customHeight="1" x14ac:dyDescent="0.4">
      <c r="A85" s="292" t="s">
        <v>52</v>
      </c>
      <c r="B85" s="299">
        <v>1</v>
      </c>
      <c r="C85" s="485" t="s">
        <v>110</v>
      </c>
      <c r="D85" s="486"/>
      <c r="E85" s="486"/>
      <c r="F85" s="486"/>
      <c r="G85" s="486"/>
      <c r="H85" s="487"/>
      <c r="I85" s="295"/>
      <c r="J85" s="295"/>
      <c r="K85" s="295"/>
      <c r="L85" s="295"/>
    </row>
    <row r="86" spans="1:12" s="14" customFormat="1" ht="18.75" x14ac:dyDescent="0.3">
      <c r="A86" s="292"/>
      <c r="B86" s="302"/>
      <c r="C86" s="303"/>
      <c r="D86" s="303"/>
      <c r="E86" s="303"/>
      <c r="F86" s="303"/>
      <c r="G86" s="303"/>
      <c r="H86" s="303"/>
      <c r="I86" s="295"/>
      <c r="J86" s="295"/>
      <c r="K86" s="295"/>
      <c r="L86" s="295"/>
    </row>
    <row r="87" spans="1:12" s="14" customFormat="1" ht="18.75" x14ac:dyDescent="0.3">
      <c r="A87" s="292" t="s">
        <v>54</v>
      </c>
      <c r="B87" s="304">
        <f>B84/B85</f>
        <v>1</v>
      </c>
      <c r="C87" s="282" t="s">
        <v>55</v>
      </c>
      <c r="D87" s="282"/>
      <c r="E87" s="282"/>
      <c r="F87" s="282"/>
      <c r="G87" s="282"/>
      <c r="I87" s="295"/>
      <c r="J87" s="295"/>
      <c r="K87" s="295"/>
      <c r="L87" s="295"/>
    </row>
    <row r="88" spans="1:12" ht="19.5" customHeight="1" x14ac:dyDescent="0.3">
      <c r="A88" s="290"/>
      <c r="B88" s="290"/>
    </row>
    <row r="89" spans="1:12" ht="27" customHeight="1" x14ac:dyDescent="0.4">
      <c r="A89" s="305" t="s">
        <v>56</v>
      </c>
      <c r="B89" s="306">
        <v>50</v>
      </c>
      <c r="D89" s="399" t="s">
        <v>57</v>
      </c>
      <c r="E89" s="400"/>
      <c r="F89" s="488" t="s">
        <v>58</v>
      </c>
      <c r="G89" s="489"/>
    </row>
    <row r="90" spans="1:12" ht="27" customHeight="1" x14ac:dyDescent="0.4">
      <c r="A90" s="307" t="s">
        <v>59</v>
      </c>
      <c r="B90" s="308">
        <v>5</v>
      </c>
      <c r="C90" s="401" t="s">
        <v>60</v>
      </c>
      <c r="D90" s="310" t="s">
        <v>61</v>
      </c>
      <c r="E90" s="311" t="s">
        <v>62</v>
      </c>
      <c r="F90" s="310" t="s">
        <v>61</v>
      </c>
      <c r="G90" s="402" t="s">
        <v>62</v>
      </c>
      <c r="I90" s="313" t="s">
        <v>63</v>
      </c>
    </row>
    <row r="91" spans="1:12" ht="26.25" customHeight="1" x14ac:dyDescent="0.4">
      <c r="A91" s="307" t="s">
        <v>64</v>
      </c>
      <c r="B91" s="308">
        <v>50</v>
      </c>
      <c r="C91" s="403">
        <v>1</v>
      </c>
      <c r="D91" s="315">
        <v>11026309</v>
      </c>
      <c r="E91" s="316">
        <f>IF(ISBLANK(D91),"-",$D$101/$D$98*D91)</f>
        <v>10295216.826540262</v>
      </c>
      <c r="F91" s="315">
        <v>10719951</v>
      </c>
      <c r="G91" s="317">
        <f>IF(ISBLANK(F91),"-",$D$101/$F$98*F91)</f>
        <v>10179674.932625819</v>
      </c>
      <c r="I91" s="318"/>
    </row>
    <row r="92" spans="1:12" ht="26.25" customHeight="1" x14ac:dyDescent="0.4">
      <c r="A92" s="307" t="s">
        <v>65</v>
      </c>
      <c r="B92" s="308">
        <v>1</v>
      </c>
      <c r="C92" s="386">
        <v>2</v>
      </c>
      <c r="D92" s="320">
        <v>11039649</v>
      </c>
      <c r="E92" s="321">
        <f>IF(ISBLANK(D92),"-",$D$101/$D$98*D92)</f>
        <v>10307672.326605247</v>
      </c>
      <c r="F92" s="320">
        <v>10973851</v>
      </c>
      <c r="G92" s="322">
        <f>IF(ISBLANK(F92),"-",$D$101/$F$98*F92)</f>
        <v>10420778.596755784</v>
      </c>
      <c r="I92" s="490">
        <f>ABS((F96/D96*D95)-F95)/D95</f>
        <v>2.6254127127067119E-3</v>
      </c>
    </row>
    <row r="93" spans="1:12" ht="26.25" customHeight="1" x14ac:dyDescent="0.4">
      <c r="A93" s="307" t="s">
        <v>66</v>
      </c>
      <c r="B93" s="308">
        <v>1</v>
      </c>
      <c r="C93" s="386">
        <v>3</v>
      </c>
      <c r="D93" s="320">
        <v>10992743</v>
      </c>
      <c r="E93" s="321">
        <f>IF(ISBLANK(D93),"-",$D$101/$D$98*D93)</f>
        <v>10263876.398115877</v>
      </c>
      <c r="F93" s="320">
        <v>10897979</v>
      </c>
      <c r="G93" s="322">
        <f>IF(ISBLANK(F93),"-",$D$101/$F$98*F93)</f>
        <v>10348730.478579855</v>
      </c>
      <c r="I93" s="490"/>
    </row>
    <row r="94" spans="1:12" ht="27" customHeight="1" x14ac:dyDescent="0.4">
      <c r="A94" s="307" t="s">
        <v>67</v>
      </c>
      <c r="B94" s="308">
        <v>1</v>
      </c>
      <c r="C94" s="404">
        <v>4</v>
      </c>
      <c r="D94" s="325"/>
      <c r="E94" s="326" t="str">
        <f>IF(ISBLANK(D94),"-",$D$101/$D$98*D94)</f>
        <v>-</v>
      </c>
      <c r="F94" s="405"/>
      <c r="G94" s="327" t="str">
        <f>IF(ISBLANK(F94),"-",$D$101/$F$98*F94)</f>
        <v>-</v>
      </c>
      <c r="I94" s="328"/>
    </row>
    <row r="95" spans="1:12" ht="27" customHeight="1" x14ac:dyDescent="0.4">
      <c r="A95" s="307" t="s">
        <v>68</v>
      </c>
      <c r="B95" s="308">
        <v>1</v>
      </c>
      <c r="C95" s="406" t="s">
        <v>69</v>
      </c>
      <c r="D95" s="407">
        <f>AVERAGE(D91:D94)</f>
        <v>11019567</v>
      </c>
      <c r="E95" s="331">
        <f>AVERAGE(E91:E94)</f>
        <v>10288921.850420462</v>
      </c>
      <c r="F95" s="408">
        <f>AVERAGE(F91:F94)</f>
        <v>10863927</v>
      </c>
      <c r="G95" s="409">
        <f>AVERAGE(G91:G94)</f>
        <v>10316394.669320486</v>
      </c>
    </row>
    <row r="96" spans="1:12" ht="26.25" customHeight="1" x14ac:dyDescent="0.4">
      <c r="A96" s="307" t="s">
        <v>70</v>
      </c>
      <c r="B96" s="293">
        <v>1</v>
      </c>
      <c r="C96" s="410" t="s">
        <v>111</v>
      </c>
      <c r="D96" s="411">
        <v>16.12</v>
      </c>
      <c r="E96" s="323"/>
      <c r="F96" s="335">
        <v>15.85</v>
      </c>
    </row>
    <row r="97" spans="1:10" ht="26.25" customHeight="1" x14ac:dyDescent="0.4">
      <c r="A97" s="307" t="s">
        <v>72</v>
      </c>
      <c r="B97" s="293">
        <v>1</v>
      </c>
      <c r="C97" s="412" t="s">
        <v>112</v>
      </c>
      <c r="D97" s="413">
        <f>D96*$B$87</f>
        <v>16.12</v>
      </c>
      <c r="E97" s="338"/>
      <c r="F97" s="337">
        <f>F96*$B$87</f>
        <v>15.85</v>
      </c>
    </row>
    <row r="98" spans="1:10" ht="19.5" customHeight="1" x14ac:dyDescent="0.3">
      <c r="A98" s="307" t="s">
        <v>74</v>
      </c>
      <c r="B98" s="414">
        <f>(B97/B96)*(B95/B94)*(B93/B92)*(B91/B90)*B89</f>
        <v>500</v>
      </c>
      <c r="C98" s="412" t="s">
        <v>113</v>
      </c>
      <c r="D98" s="415">
        <f>D97*$B$83/100</f>
        <v>16.065192</v>
      </c>
      <c r="E98" s="341"/>
      <c r="F98" s="340">
        <f>F97*$B$83/100</f>
        <v>15.796109999999999</v>
      </c>
    </row>
    <row r="99" spans="1:10" ht="19.5" customHeight="1" x14ac:dyDescent="0.3">
      <c r="A99" s="476" t="s">
        <v>76</v>
      </c>
      <c r="B99" s="491"/>
      <c r="C99" s="412" t="s">
        <v>114</v>
      </c>
      <c r="D99" s="416">
        <f>D98/$B$98</f>
        <v>3.2130383999999998E-2</v>
      </c>
      <c r="E99" s="341"/>
      <c r="F99" s="344">
        <f>F98/$B$98</f>
        <v>3.1592219999999997E-2</v>
      </c>
      <c r="G99" s="417"/>
      <c r="H99" s="333"/>
    </row>
    <row r="100" spans="1:10" ht="19.5" customHeight="1" x14ac:dyDescent="0.3">
      <c r="A100" s="478"/>
      <c r="B100" s="492"/>
      <c r="C100" s="412" t="s">
        <v>78</v>
      </c>
      <c r="D100" s="418">
        <v>0.03</v>
      </c>
      <c r="F100" s="349"/>
      <c r="G100" s="419"/>
      <c r="H100" s="333"/>
    </row>
    <row r="101" spans="1:10" ht="18.75" x14ac:dyDescent="0.3">
      <c r="C101" s="412" t="s">
        <v>79</v>
      </c>
      <c r="D101" s="413">
        <f>D100*$B$98</f>
        <v>15</v>
      </c>
      <c r="F101" s="349"/>
      <c r="G101" s="417"/>
      <c r="H101" s="333"/>
    </row>
    <row r="102" spans="1:10" ht="19.5" customHeight="1" x14ac:dyDescent="0.3">
      <c r="C102" s="420" t="s">
        <v>80</v>
      </c>
      <c r="D102" s="421">
        <f>D101/B34</f>
        <v>15</v>
      </c>
      <c r="F102" s="353"/>
      <c r="G102" s="417"/>
      <c r="H102" s="333"/>
      <c r="J102" s="422"/>
    </row>
    <row r="103" spans="1:10" ht="18.75" x14ac:dyDescent="0.3">
      <c r="C103" s="423" t="s">
        <v>115</v>
      </c>
      <c r="D103" s="424">
        <f>AVERAGE(E91:E94,G91:G94)</f>
        <v>10302658.259870473</v>
      </c>
      <c r="F103" s="353"/>
      <c r="G103" s="425"/>
      <c r="H103" s="333"/>
      <c r="J103" s="426"/>
    </row>
    <row r="104" spans="1:10" ht="18.75" x14ac:dyDescent="0.3">
      <c r="C104" s="389" t="s">
        <v>82</v>
      </c>
      <c r="D104" s="427">
        <f>STDEV(E91:E94,G91:G94)/D103</f>
        <v>7.8595929878989019E-3</v>
      </c>
      <c r="F104" s="353"/>
      <c r="G104" s="417"/>
      <c r="H104" s="333"/>
      <c r="J104" s="426"/>
    </row>
    <row r="105" spans="1:10" ht="19.5" customHeight="1" x14ac:dyDescent="0.3">
      <c r="C105" s="392" t="s">
        <v>19</v>
      </c>
      <c r="D105" s="428">
        <f>COUNT(E91:E94,G91:G94)</f>
        <v>6</v>
      </c>
      <c r="F105" s="353"/>
      <c r="G105" s="417"/>
      <c r="H105" s="333"/>
      <c r="J105" s="426"/>
    </row>
    <row r="106" spans="1:10" ht="19.5" customHeight="1" x14ac:dyDescent="0.3">
      <c r="A106" s="357"/>
      <c r="B106" s="357"/>
      <c r="C106" s="357"/>
      <c r="D106" s="357"/>
      <c r="E106" s="357"/>
    </row>
    <row r="107" spans="1:10" ht="26.25" customHeight="1" x14ac:dyDescent="0.4">
      <c r="A107" s="305" t="s">
        <v>116</v>
      </c>
      <c r="B107" s="306">
        <v>900</v>
      </c>
      <c r="C107" s="429" t="s">
        <v>117</v>
      </c>
      <c r="D107" s="430" t="s">
        <v>61</v>
      </c>
      <c r="E107" s="431" t="s">
        <v>118</v>
      </c>
      <c r="F107" s="432" t="s">
        <v>119</v>
      </c>
    </row>
    <row r="108" spans="1:10" ht="26.25" customHeight="1" x14ac:dyDescent="0.4">
      <c r="A108" s="307" t="s">
        <v>120</v>
      </c>
      <c r="B108" s="308">
        <v>5</v>
      </c>
      <c r="C108" s="433">
        <v>1</v>
      </c>
      <c r="D108" s="434">
        <v>12344869</v>
      </c>
      <c r="E108" s="435">
        <f t="shared" ref="E108:E113" si="1">IF(ISBLANK(D108),"-",D108/$D$103*$D$100*$B$116)</f>
        <v>129.40794680078633</v>
      </c>
      <c r="F108" s="436">
        <f t="shared" ref="F108:F113" si="2">IF(ISBLANK(D108), "-", E108/$B$56)</f>
        <v>0.80879966750491461</v>
      </c>
    </row>
    <row r="109" spans="1:10" ht="26.25" customHeight="1" x14ac:dyDescent="0.4">
      <c r="A109" s="307" t="s">
        <v>93</v>
      </c>
      <c r="B109" s="308">
        <v>20</v>
      </c>
      <c r="C109" s="433">
        <v>2</v>
      </c>
      <c r="D109" s="434">
        <v>12165558</v>
      </c>
      <c r="E109" s="437">
        <f t="shared" si="1"/>
        <v>127.52827773756695</v>
      </c>
      <c r="F109" s="438">
        <f t="shared" si="2"/>
        <v>0.7970517358597935</v>
      </c>
    </row>
    <row r="110" spans="1:10" ht="26.25" customHeight="1" x14ac:dyDescent="0.4">
      <c r="A110" s="307" t="s">
        <v>94</v>
      </c>
      <c r="B110" s="308">
        <v>1</v>
      </c>
      <c r="C110" s="433">
        <v>3</v>
      </c>
      <c r="D110" s="434">
        <v>12342413</v>
      </c>
      <c r="E110" s="437">
        <f t="shared" si="1"/>
        <v>129.38220121228775</v>
      </c>
      <c r="F110" s="438">
        <f>IF(ISBLANK(D110), "-", E110/$B$56)</f>
        <v>0.80863875757679848</v>
      </c>
    </row>
    <row r="111" spans="1:10" ht="26.25" customHeight="1" x14ac:dyDescent="0.4">
      <c r="A111" s="307" t="s">
        <v>95</v>
      </c>
      <c r="B111" s="308">
        <v>1</v>
      </c>
      <c r="C111" s="433">
        <v>4</v>
      </c>
      <c r="D111" s="434">
        <v>11909467</v>
      </c>
      <c r="E111" s="437">
        <f t="shared" si="1"/>
        <v>124.84374455182312</v>
      </c>
      <c r="F111" s="438">
        <f t="shared" si="2"/>
        <v>0.78027340344889451</v>
      </c>
    </row>
    <row r="112" spans="1:10" ht="26.25" customHeight="1" x14ac:dyDescent="0.4">
      <c r="A112" s="307" t="s">
        <v>96</v>
      </c>
      <c r="B112" s="308">
        <v>1</v>
      </c>
      <c r="C112" s="433">
        <v>5</v>
      </c>
      <c r="D112" s="434">
        <v>12320051</v>
      </c>
      <c r="E112" s="437">
        <f t="shared" si="1"/>
        <v>129.14778637108049</v>
      </c>
      <c r="F112" s="438">
        <f t="shared" si="2"/>
        <v>0.80717366481925301</v>
      </c>
    </row>
    <row r="113" spans="1:10" ht="26.25" customHeight="1" x14ac:dyDescent="0.4">
      <c r="A113" s="307" t="s">
        <v>98</v>
      </c>
      <c r="B113" s="308">
        <v>1</v>
      </c>
      <c r="C113" s="439">
        <v>6</v>
      </c>
      <c r="D113" s="440">
        <v>12177333</v>
      </c>
      <c r="E113" s="441">
        <f t="shared" si="1"/>
        <v>127.65171190066573</v>
      </c>
      <c r="F113" s="442">
        <f>IF(ISBLANK(D113), "-", E113/$B$56)</f>
        <v>0.7978231993791608</v>
      </c>
    </row>
    <row r="114" spans="1:10" ht="26.25" customHeight="1" x14ac:dyDescent="0.4">
      <c r="A114" s="307" t="s">
        <v>99</v>
      </c>
      <c r="B114" s="308">
        <v>1</v>
      </c>
      <c r="C114" s="433"/>
      <c r="D114" s="386"/>
      <c r="E114" s="281"/>
      <c r="F114" s="443"/>
    </row>
    <row r="115" spans="1:10" ht="26.25" customHeight="1" x14ac:dyDescent="0.4">
      <c r="A115" s="307" t="s">
        <v>100</v>
      </c>
      <c r="B115" s="308">
        <v>1</v>
      </c>
      <c r="C115" s="433"/>
      <c r="D115" s="444"/>
      <c r="E115" s="445" t="s">
        <v>69</v>
      </c>
      <c r="F115" s="446">
        <f>AVERAGE(F108:F113)</f>
        <v>0.79996007143146908</v>
      </c>
    </row>
    <row r="116" spans="1:10" ht="27" customHeight="1" x14ac:dyDescent="0.4">
      <c r="A116" s="307" t="s">
        <v>101</v>
      </c>
      <c r="B116" s="339">
        <f>(B115/B114)*(B113/B112)*(B111/B110)*(B109/B108)*B107</f>
        <v>3600</v>
      </c>
      <c r="C116" s="447"/>
      <c r="D116" s="448"/>
      <c r="E116" s="406" t="s">
        <v>82</v>
      </c>
      <c r="F116" s="449">
        <f>STDEV(F108:F113)/F115</f>
        <v>1.3762994091770077E-2</v>
      </c>
      <c r="I116" s="281"/>
    </row>
    <row r="117" spans="1:10" ht="27" customHeight="1" x14ac:dyDescent="0.4">
      <c r="A117" s="476" t="s">
        <v>76</v>
      </c>
      <c r="B117" s="477"/>
      <c r="C117" s="450"/>
      <c r="D117" s="451"/>
      <c r="E117" s="452" t="s">
        <v>19</v>
      </c>
      <c r="F117" s="453">
        <f>COUNT(F108:F113)</f>
        <v>6</v>
      </c>
      <c r="I117" s="281"/>
      <c r="J117" s="426"/>
    </row>
    <row r="118" spans="1:10" ht="19.5" customHeight="1" x14ac:dyDescent="0.3">
      <c r="A118" s="478"/>
      <c r="B118" s="479"/>
      <c r="C118" s="281"/>
      <c r="D118" s="281"/>
      <c r="E118" s="281"/>
      <c r="F118" s="386"/>
      <c r="G118" s="281"/>
      <c r="H118" s="281"/>
      <c r="I118" s="281"/>
    </row>
    <row r="119" spans="1:10" ht="18.75" x14ac:dyDescent="0.3">
      <c r="A119" s="462"/>
      <c r="B119" s="303"/>
      <c r="C119" s="281"/>
      <c r="D119" s="281"/>
      <c r="E119" s="281"/>
      <c r="F119" s="386"/>
      <c r="G119" s="281"/>
      <c r="H119" s="281"/>
      <c r="I119" s="281"/>
    </row>
    <row r="120" spans="1:10" ht="26.25" customHeight="1" x14ac:dyDescent="0.4">
      <c r="A120" s="291" t="s">
        <v>104</v>
      </c>
      <c r="B120" s="394" t="s">
        <v>121</v>
      </c>
      <c r="C120" s="480" t="str">
        <f>B20</f>
        <v>Sulphamethoxazole 800 mg, Trimethoprim 160 mg</v>
      </c>
      <c r="D120" s="480"/>
      <c r="E120" s="395" t="s">
        <v>122</v>
      </c>
      <c r="F120" s="395"/>
      <c r="G120" s="396">
        <f>F115</f>
        <v>0.79996007143146908</v>
      </c>
      <c r="H120" s="281"/>
      <c r="I120" s="281"/>
    </row>
    <row r="121" spans="1:10" ht="19.5" customHeight="1" x14ac:dyDescent="0.3">
      <c r="A121" s="454"/>
      <c r="B121" s="454"/>
      <c r="C121" s="455"/>
      <c r="D121" s="455"/>
      <c r="E121" s="455"/>
      <c r="F121" s="455"/>
      <c r="G121" s="455"/>
      <c r="H121" s="455"/>
    </row>
    <row r="122" spans="1:10" ht="18.75" x14ac:dyDescent="0.3">
      <c r="B122" s="481" t="s">
        <v>25</v>
      </c>
      <c r="C122" s="481"/>
      <c r="E122" s="401" t="s">
        <v>26</v>
      </c>
      <c r="F122" s="456"/>
      <c r="G122" s="481" t="s">
        <v>27</v>
      </c>
      <c r="H122" s="481"/>
    </row>
    <row r="123" spans="1:10" ht="18.75" x14ac:dyDescent="0.3">
      <c r="A123" s="457" t="s">
        <v>28</v>
      </c>
      <c r="B123" s="458"/>
      <c r="C123" s="458"/>
      <c r="E123" s="458"/>
      <c r="F123" s="281"/>
      <c r="G123" s="459"/>
      <c r="H123" s="459"/>
    </row>
    <row r="124" spans="1:10" ht="18.75" x14ac:dyDescent="0.3">
      <c r="A124" s="457" t="s">
        <v>29</v>
      </c>
      <c r="B124" s="460"/>
      <c r="C124" s="460"/>
      <c r="E124" s="460"/>
      <c r="F124" s="281"/>
      <c r="G124" s="461"/>
      <c r="H124" s="461"/>
    </row>
    <row r="125" spans="1:10" ht="18.75" x14ac:dyDescent="0.3">
      <c r="A125" s="385"/>
      <c r="B125" s="385"/>
      <c r="C125" s="386"/>
      <c r="D125" s="386"/>
      <c r="E125" s="386"/>
      <c r="F125" s="391"/>
      <c r="G125" s="386"/>
      <c r="H125" s="386"/>
      <c r="I125" s="281"/>
    </row>
    <row r="126" spans="1:10" ht="18.75" x14ac:dyDescent="0.3">
      <c r="A126" s="385"/>
      <c r="B126" s="385"/>
      <c r="C126" s="386"/>
      <c r="D126" s="386"/>
      <c r="E126" s="386"/>
      <c r="F126" s="391"/>
      <c r="G126" s="386"/>
      <c r="H126" s="386"/>
      <c r="I126" s="281"/>
    </row>
    <row r="127" spans="1:10" ht="18.75" x14ac:dyDescent="0.3">
      <c r="A127" s="385"/>
      <c r="B127" s="385"/>
      <c r="C127" s="386"/>
      <c r="D127" s="386"/>
      <c r="E127" s="386"/>
      <c r="F127" s="391"/>
      <c r="G127" s="386"/>
      <c r="H127" s="386"/>
      <c r="I127" s="281"/>
    </row>
    <row r="128" spans="1:10" ht="18.75" x14ac:dyDescent="0.3">
      <c r="A128" s="385"/>
      <c r="B128" s="385"/>
      <c r="C128" s="386"/>
      <c r="D128" s="386"/>
      <c r="E128" s="386"/>
      <c r="F128" s="391"/>
      <c r="G128" s="386"/>
      <c r="H128" s="386"/>
      <c r="I128" s="281"/>
    </row>
    <row r="129" spans="1:9" ht="18.75" x14ac:dyDescent="0.3">
      <c r="A129" s="385"/>
      <c r="B129" s="385"/>
      <c r="C129" s="386"/>
      <c r="D129" s="386"/>
      <c r="E129" s="386"/>
      <c r="F129" s="391"/>
      <c r="G129" s="386"/>
      <c r="H129" s="386"/>
      <c r="I129" s="281"/>
    </row>
    <row r="130" spans="1:9" ht="18.75" x14ac:dyDescent="0.3">
      <c r="A130" s="385"/>
      <c r="B130" s="385"/>
      <c r="C130" s="386"/>
      <c r="D130" s="386"/>
      <c r="E130" s="386"/>
      <c r="F130" s="391"/>
      <c r="G130" s="386"/>
      <c r="H130" s="386"/>
      <c r="I130" s="281"/>
    </row>
    <row r="131" spans="1:9" ht="18.75" x14ac:dyDescent="0.3">
      <c r="A131" s="385"/>
      <c r="B131" s="385"/>
      <c r="C131" s="386"/>
      <c r="D131" s="386"/>
      <c r="E131" s="386"/>
      <c r="F131" s="391"/>
      <c r="G131" s="386"/>
      <c r="H131" s="386"/>
      <c r="I131" s="281"/>
    </row>
    <row r="132" spans="1:9" ht="18.75" x14ac:dyDescent="0.3">
      <c r="A132" s="385"/>
      <c r="B132" s="385"/>
      <c r="C132" s="386"/>
      <c r="D132" s="386"/>
      <c r="E132" s="386"/>
      <c r="F132" s="391"/>
      <c r="G132" s="386"/>
      <c r="H132" s="386"/>
      <c r="I132" s="281"/>
    </row>
    <row r="133" spans="1:9" ht="18.75" x14ac:dyDescent="0.3">
      <c r="A133" s="385"/>
      <c r="B133" s="385"/>
      <c r="C133" s="386"/>
      <c r="D133" s="386"/>
      <c r="E133" s="386"/>
      <c r="F133" s="391"/>
      <c r="G133" s="386"/>
      <c r="H133" s="386"/>
      <c r="I133" s="281"/>
    </row>
    <row r="250" spans="1:1" x14ac:dyDescent="0.25">
      <c r="A250" s="2">
        <v>5</v>
      </c>
    </row>
  </sheetData>
  <sheetProtection formatCells="0" formatColumns="0" formatRows="0" insertColumns="0" insertRows="0" insertHyperlinks="0" deleteColumns="0" deleteRows="0" sort="0" autoFilter="0" pivotTables="0"/>
  <mergeCells count="34"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I39:I40"/>
    <mergeCell ref="A46:B47"/>
    <mergeCell ref="C60:C63"/>
    <mergeCell ref="D60:D63"/>
    <mergeCell ref="C64:C67"/>
    <mergeCell ref="D64:D67"/>
    <mergeCell ref="I92:I93"/>
    <mergeCell ref="A99:B100"/>
    <mergeCell ref="C68:C71"/>
    <mergeCell ref="D68:D71"/>
    <mergeCell ref="A70:B71"/>
    <mergeCell ref="C76:D76"/>
    <mergeCell ref="B79:C79"/>
    <mergeCell ref="B80:C80"/>
    <mergeCell ref="A117:B118"/>
    <mergeCell ref="C120:D120"/>
    <mergeCell ref="B122:C122"/>
    <mergeCell ref="G122:H122"/>
    <mergeCell ref="C82:G82"/>
    <mergeCell ref="C84:H84"/>
    <mergeCell ref="C85:H85"/>
    <mergeCell ref="F89:G89"/>
  </mergeCells>
  <conditionalFormatting sqref="E51">
    <cfRule type="cellIs" dxfId="7" priority="1" operator="greaterThan">
      <formula>0.02</formula>
    </cfRule>
  </conditionalFormatting>
  <conditionalFormatting sqref="D51">
    <cfRule type="cellIs" dxfId="6" priority="2" operator="greaterThan">
      <formula>0.02</formula>
    </cfRule>
  </conditionalFormatting>
  <conditionalFormatting sqref="H73">
    <cfRule type="cellIs" dxfId="5" priority="3" operator="greaterThan">
      <formula>0.02</formula>
    </cfRule>
  </conditionalFormatting>
  <conditionalFormatting sqref="D104">
    <cfRule type="cellIs" dxfId="4" priority="4" operator="greaterThan">
      <formula>0.02</formula>
    </cfRule>
  </conditionalFormatting>
  <conditionalFormatting sqref="I39">
    <cfRule type="cellIs" dxfId="3" priority="5" operator="lessThanOrEqual">
      <formula>0.02</formula>
    </cfRule>
  </conditionalFormatting>
  <conditionalFormatting sqref="I39">
    <cfRule type="cellIs" dxfId="2" priority="6" operator="greaterThan">
      <formula>0.02</formula>
    </cfRule>
  </conditionalFormatting>
  <conditionalFormatting sqref="I92">
    <cfRule type="cellIs" dxfId="1" priority="7" operator="lessThanOrEqual">
      <formula>0.02</formula>
    </cfRule>
  </conditionalFormatting>
  <conditionalFormatting sqref="I92">
    <cfRule type="cellIs" dxfId="0" priority="8" operator="greaterThan">
      <formula>0.02</formula>
    </cfRule>
  </conditionalFormatting>
  <pageMargins left="0.7" right="0.7" top="0.75" bottom="0.75" header="0.3" footer="0.3"/>
  <pageSetup scale="24" orientation="portrait" r:id="rId1"/>
  <rowBreaks count="1" manualBreakCount="1">
    <brk id="128" max="8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19" workbookViewId="0">
      <selection activeCell="C49" sqref="C49"/>
    </sheetView>
  </sheetViews>
  <sheetFormatPr defaultRowHeight="13.5" x14ac:dyDescent="0.25"/>
  <cols>
    <col min="1" max="1" width="27.5703125" style="417" customWidth="1"/>
    <col min="2" max="2" width="20.42578125" style="417" customWidth="1"/>
    <col min="3" max="3" width="31.85546875" style="417" customWidth="1"/>
    <col min="4" max="4" width="25.85546875" style="417" customWidth="1"/>
    <col min="5" max="5" width="25.7109375" style="417" customWidth="1"/>
    <col min="6" max="6" width="23.140625" style="417" customWidth="1"/>
    <col min="7" max="7" width="28.42578125" style="417" customWidth="1"/>
    <col min="8" max="8" width="21.5703125" style="417" customWidth="1"/>
    <col min="9" max="9" width="9.140625" style="417" customWidth="1"/>
    <col min="10" max="16384" width="9.140625" style="44"/>
  </cols>
  <sheetData>
    <row r="14" spans="1:6" ht="15" customHeight="1" x14ac:dyDescent="0.3">
      <c r="A14" s="1"/>
      <c r="C14" s="3"/>
      <c r="F14" s="3"/>
    </row>
    <row r="15" spans="1:6" ht="18.75" customHeight="1" x14ac:dyDescent="0.3">
      <c r="A15" s="466" t="s">
        <v>0</v>
      </c>
      <c r="B15" s="466"/>
      <c r="C15" s="466"/>
      <c r="D15" s="466"/>
      <c r="E15" s="466"/>
    </row>
    <row r="16" spans="1:6" ht="16.5" customHeight="1" x14ac:dyDescent="0.3">
      <c r="A16" s="90" t="s">
        <v>1</v>
      </c>
      <c r="B16" s="59" t="s">
        <v>2</v>
      </c>
    </row>
    <row r="17" spans="1:5" ht="16.5" customHeight="1" x14ac:dyDescent="0.3">
      <c r="A17" s="8" t="s">
        <v>3</v>
      </c>
      <c r="B17" s="8"/>
      <c r="D17" s="9"/>
      <c r="E17" s="72"/>
    </row>
    <row r="18" spans="1:5" ht="16.5" customHeight="1" x14ac:dyDescent="0.3">
      <c r="A18" s="75" t="s">
        <v>4</v>
      </c>
      <c r="B18" s="464" t="s">
        <v>124</v>
      </c>
      <c r="D18" s="72"/>
      <c r="E18" s="72"/>
    </row>
    <row r="19" spans="1:5" ht="16.5" customHeight="1" x14ac:dyDescent="0.3">
      <c r="A19" s="75" t="s">
        <v>6</v>
      </c>
      <c r="B19" s="465">
        <v>99.66</v>
      </c>
      <c r="C19" s="72"/>
      <c r="D19" s="72"/>
      <c r="E19" s="72"/>
    </row>
    <row r="20" spans="1:5" ht="16.5" customHeight="1" x14ac:dyDescent="0.3">
      <c r="A20" s="8" t="s">
        <v>8</v>
      </c>
      <c r="B20" s="465">
        <v>16.32</v>
      </c>
      <c r="C20" s="72"/>
      <c r="D20" s="72"/>
      <c r="E20" s="72"/>
    </row>
    <row r="21" spans="1:5" ht="16.5" customHeight="1" x14ac:dyDescent="0.3">
      <c r="A21" s="8" t="s">
        <v>10</v>
      </c>
      <c r="B21" s="465">
        <v>3.2640000000000002E-2</v>
      </c>
      <c r="C21" s="72"/>
      <c r="D21" s="72"/>
      <c r="E21" s="72"/>
    </row>
    <row r="22" spans="1:5" ht="15.75" customHeight="1" x14ac:dyDescent="0.25">
      <c r="A22" s="72"/>
      <c r="B22" s="72"/>
      <c r="C22" s="72"/>
      <c r="D22" s="72"/>
      <c r="E22" s="72"/>
    </row>
    <row r="23" spans="1:5" ht="16.5" customHeight="1" x14ac:dyDescent="0.3">
      <c r="A23" s="16" t="s">
        <v>12</v>
      </c>
      <c r="B23" s="15" t="s">
        <v>13</v>
      </c>
      <c r="C23" s="16" t="s">
        <v>14</v>
      </c>
      <c r="D23" s="16" t="s">
        <v>15</v>
      </c>
      <c r="E23" s="16" t="s">
        <v>16</v>
      </c>
    </row>
    <row r="24" spans="1:5" ht="16.5" customHeight="1" x14ac:dyDescent="0.3">
      <c r="A24" s="17">
        <v>1</v>
      </c>
      <c r="B24" s="18">
        <v>10185788</v>
      </c>
      <c r="C24" s="18">
        <v>5752</v>
      </c>
      <c r="D24" s="19">
        <v>1.2</v>
      </c>
      <c r="E24" s="20">
        <v>3.9</v>
      </c>
    </row>
    <row r="25" spans="1:5" ht="16.5" customHeight="1" x14ac:dyDescent="0.3">
      <c r="A25" s="17">
        <v>2</v>
      </c>
      <c r="B25" s="18">
        <v>10176368</v>
      </c>
      <c r="C25" s="18">
        <v>5891</v>
      </c>
      <c r="D25" s="19">
        <v>1.2</v>
      </c>
      <c r="E25" s="19">
        <v>3.9</v>
      </c>
    </row>
    <row r="26" spans="1:5" ht="16.5" customHeight="1" x14ac:dyDescent="0.3">
      <c r="A26" s="17">
        <v>3</v>
      </c>
      <c r="B26" s="18">
        <v>10195929</v>
      </c>
      <c r="C26" s="18">
        <v>5899.7</v>
      </c>
      <c r="D26" s="19">
        <v>1.2</v>
      </c>
      <c r="E26" s="19">
        <v>3.9</v>
      </c>
    </row>
    <row r="27" spans="1:5" ht="16.5" customHeight="1" x14ac:dyDescent="0.3">
      <c r="A27" s="17">
        <v>4</v>
      </c>
      <c r="B27" s="18">
        <v>10207041</v>
      </c>
      <c r="C27" s="18">
        <v>5786.6</v>
      </c>
      <c r="D27" s="19">
        <v>1.2</v>
      </c>
      <c r="E27" s="19">
        <v>3.9</v>
      </c>
    </row>
    <row r="28" spans="1:5" ht="16.5" customHeight="1" x14ac:dyDescent="0.3">
      <c r="A28" s="17">
        <v>5</v>
      </c>
      <c r="B28" s="18">
        <v>10227648</v>
      </c>
      <c r="C28" s="18">
        <v>5894.7</v>
      </c>
      <c r="D28" s="19">
        <v>1.2</v>
      </c>
      <c r="E28" s="19">
        <v>3.9</v>
      </c>
    </row>
    <row r="29" spans="1:5" ht="16.5" customHeight="1" x14ac:dyDescent="0.3">
      <c r="A29" s="17">
        <v>6</v>
      </c>
      <c r="B29" s="21">
        <v>10232934</v>
      </c>
      <c r="C29" s="21">
        <v>5845.4</v>
      </c>
      <c r="D29" s="22">
        <v>1.2</v>
      </c>
      <c r="E29" s="22">
        <v>3.9</v>
      </c>
    </row>
    <row r="30" spans="1:5" ht="16.5" customHeight="1" x14ac:dyDescent="0.3">
      <c r="A30" s="23" t="s">
        <v>17</v>
      </c>
      <c r="B30" s="24">
        <v>10204284.666666666</v>
      </c>
      <c r="C30" s="25">
        <v>5844.9000000000005</v>
      </c>
      <c r="D30" s="26">
        <v>1.2</v>
      </c>
      <c r="E30" s="26">
        <v>3.9</v>
      </c>
    </row>
    <row r="31" spans="1:5" ht="16.5" customHeight="1" x14ac:dyDescent="0.3">
      <c r="A31" s="27" t="s">
        <v>18</v>
      </c>
      <c r="B31" s="28">
        <f>(STDEV(B24:B29)/B30)</f>
        <v>2.2198283043471717E-3</v>
      </c>
      <c r="C31" s="29"/>
      <c r="D31" s="29"/>
      <c r="E31" s="30"/>
    </row>
    <row r="32" spans="1:5" s="417" customFormat="1" ht="16.5" customHeight="1" x14ac:dyDescent="0.3">
      <c r="A32" s="31" t="s">
        <v>19</v>
      </c>
      <c r="B32" s="32">
        <f>COUNT(B24:B29)</f>
        <v>6</v>
      </c>
      <c r="C32" s="33"/>
      <c r="D32" s="73"/>
      <c r="E32" s="35"/>
    </row>
    <row r="33" spans="1:5" s="417" customFormat="1" ht="15.75" customHeight="1" x14ac:dyDescent="0.25">
      <c r="A33" s="72"/>
      <c r="B33" s="72"/>
      <c r="C33" s="72"/>
      <c r="D33" s="72"/>
      <c r="E33" s="72"/>
    </row>
    <row r="34" spans="1:5" s="417" customFormat="1" ht="16.5" customHeight="1" x14ac:dyDescent="0.3">
      <c r="A34" s="75" t="s">
        <v>20</v>
      </c>
      <c r="B34" s="40" t="s">
        <v>21</v>
      </c>
      <c r="C34" s="39"/>
      <c r="D34" s="39"/>
      <c r="E34" s="39"/>
    </row>
    <row r="35" spans="1:5" ht="16.5" customHeight="1" x14ac:dyDescent="0.3">
      <c r="A35" s="75"/>
      <c r="B35" s="40" t="s">
        <v>22</v>
      </c>
      <c r="C35" s="39"/>
      <c r="D35" s="39"/>
      <c r="E35" s="39"/>
    </row>
    <row r="36" spans="1:5" ht="16.5" customHeight="1" x14ac:dyDescent="0.3">
      <c r="A36" s="75"/>
      <c r="B36" s="40" t="s">
        <v>23</v>
      </c>
      <c r="C36" s="39"/>
      <c r="D36" s="39"/>
      <c r="E36" s="39"/>
    </row>
    <row r="37" spans="1:5" ht="15.75" customHeight="1" x14ac:dyDescent="0.25">
      <c r="A37" s="72"/>
      <c r="B37" s="72"/>
      <c r="C37" s="72"/>
      <c r="D37" s="72"/>
      <c r="E37" s="72"/>
    </row>
    <row r="38" spans="1:5" ht="16.5" customHeight="1" x14ac:dyDescent="0.3">
      <c r="A38" s="90" t="s">
        <v>1</v>
      </c>
      <c r="B38" s="59" t="s">
        <v>24</v>
      </c>
    </row>
    <row r="39" spans="1:5" ht="16.5" customHeight="1" x14ac:dyDescent="0.3">
      <c r="A39" s="75" t="s">
        <v>4</v>
      </c>
      <c r="B39" s="8" t="s">
        <v>124</v>
      </c>
      <c r="C39" s="72"/>
      <c r="D39" s="72"/>
      <c r="E39" s="72"/>
    </row>
    <row r="40" spans="1:5" ht="16.5" customHeight="1" x14ac:dyDescent="0.3">
      <c r="A40" s="75" t="s">
        <v>6</v>
      </c>
      <c r="B40" s="513">
        <v>99.66</v>
      </c>
      <c r="C40" s="72"/>
      <c r="D40" s="72"/>
      <c r="E40" s="72"/>
    </row>
    <row r="41" spans="1:5" ht="16.5" customHeight="1" x14ac:dyDescent="0.3">
      <c r="A41" s="8" t="s">
        <v>8</v>
      </c>
      <c r="B41" s="12">
        <v>16.12</v>
      </c>
      <c r="C41" s="72"/>
      <c r="D41" s="72"/>
      <c r="E41" s="72"/>
    </row>
    <row r="42" spans="1:5" ht="16.5" customHeight="1" x14ac:dyDescent="0.3">
      <c r="A42" s="8" t="s">
        <v>10</v>
      </c>
      <c r="B42" s="13">
        <f>B41/50*5/50</f>
        <v>3.2240000000000005E-2</v>
      </c>
      <c r="C42" s="72"/>
      <c r="D42" s="72"/>
      <c r="E42" s="72"/>
    </row>
    <row r="43" spans="1:5" ht="15.75" customHeight="1" x14ac:dyDescent="0.25">
      <c r="A43" s="72"/>
      <c r="B43" s="72"/>
      <c r="C43" s="72"/>
      <c r="D43" s="72"/>
      <c r="E43" s="72"/>
    </row>
    <row r="44" spans="1:5" ht="16.5" customHeight="1" x14ac:dyDescent="0.3">
      <c r="A44" s="16" t="s">
        <v>12</v>
      </c>
      <c r="B44" s="15" t="s">
        <v>13</v>
      </c>
      <c r="C44" s="16" t="s">
        <v>14</v>
      </c>
      <c r="D44" s="16" t="s">
        <v>15</v>
      </c>
      <c r="E44" s="16" t="s">
        <v>16</v>
      </c>
    </row>
    <row r="45" spans="1:5" ht="16.5" customHeight="1" x14ac:dyDescent="0.3">
      <c r="A45" s="17">
        <v>1</v>
      </c>
      <c r="B45" s="18">
        <v>10960661</v>
      </c>
      <c r="C45" s="18">
        <v>8855.9</v>
      </c>
      <c r="D45" s="19">
        <v>1.18</v>
      </c>
      <c r="E45" s="20">
        <v>4.57</v>
      </c>
    </row>
    <row r="46" spans="1:5" ht="16.5" customHeight="1" x14ac:dyDescent="0.3">
      <c r="A46" s="17">
        <v>2</v>
      </c>
      <c r="B46" s="18">
        <v>11134987</v>
      </c>
      <c r="C46" s="18">
        <v>8792.5</v>
      </c>
      <c r="D46" s="19">
        <v>1.17</v>
      </c>
      <c r="E46" s="19">
        <v>4.4800000000000004</v>
      </c>
    </row>
    <row r="47" spans="1:5" ht="16.5" customHeight="1" x14ac:dyDescent="0.3">
      <c r="A47" s="17">
        <v>3</v>
      </c>
      <c r="B47" s="18">
        <v>11126586</v>
      </c>
      <c r="C47" s="18">
        <v>8849.7000000000007</v>
      </c>
      <c r="D47" s="19">
        <v>1.18</v>
      </c>
      <c r="E47" s="19">
        <v>4.45</v>
      </c>
    </row>
    <row r="48" spans="1:5" ht="16.5" customHeight="1" x14ac:dyDescent="0.3">
      <c r="A48" s="17">
        <v>4</v>
      </c>
      <c r="B48" s="18">
        <v>11090612</v>
      </c>
      <c r="C48" s="18">
        <v>8955.9</v>
      </c>
      <c r="D48" s="19">
        <v>1.23</v>
      </c>
      <c r="E48" s="19">
        <v>4.4400000000000004</v>
      </c>
    </row>
    <row r="49" spans="1:7" ht="16.5" customHeight="1" x14ac:dyDescent="0.3">
      <c r="A49" s="17">
        <v>5</v>
      </c>
      <c r="B49" s="18">
        <v>11108918</v>
      </c>
      <c r="C49" s="18">
        <v>8975.5</v>
      </c>
      <c r="D49" s="19">
        <v>1.21</v>
      </c>
      <c r="E49" s="19">
        <v>4.45</v>
      </c>
    </row>
    <row r="50" spans="1:7" ht="16.5" customHeight="1" x14ac:dyDescent="0.3">
      <c r="A50" s="17">
        <v>6</v>
      </c>
      <c r="B50" s="21">
        <v>11066449</v>
      </c>
      <c r="C50" s="21">
        <v>8990.1</v>
      </c>
      <c r="D50" s="22">
        <v>1.23</v>
      </c>
      <c r="E50" s="22">
        <v>4.4400000000000004</v>
      </c>
    </row>
    <row r="51" spans="1:7" ht="16.5" customHeight="1" x14ac:dyDescent="0.3">
      <c r="A51" s="23" t="s">
        <v>17</v>
      </c>
      <c r="B51" s="24">
        <f>AVERAGE(B45:B50)</f>
        <v>11081368.833333334</v>
      </c>
      <c r="C51" s="25">
        <f>AVERAGE(C45:C50)</f>
        <v>8903.2666666666664</v>
      </c>
      <c r="D51" s="26">
        <f>AVERAGE(D45:D50)</f>
        <v>1.2</v>
      </c>
      <c r="E51" s="26">
        <f>AVERAGE(E45:E50)</f>
        <v>4.4716666666666667</v>
      </c>
    </row>
    <row r="52" spans="1:7" ht="16.5" customHeight="1" x14ac:dyDescent="0.3">
      <c r="A52" s="27" t="s">
        <v>18</v>
      </c>
      <c r="B52" s="28">
        <f>(STDEV(B45:B50)/B51)</f>
        <v>5.7862892067681278E-3</v>
      </c>
      <c r="C52" s="29"/>
      <c r="D52" s="29"/>
      <c r="E52" s="30"/>
    </row>
    <row r="53" spans="1:7" s="417" customFormat="1" ht="16.5" customHeight="1" x14ac:dyDescent="0.3">
      <c r="A53" s="31" t="s">
        <v>19</v>
      </c>
      <c r="B53" s="32">
        <f>COUNT(B45:B50)</f>
        <v>6</v>
      </c>
      <c r="C53" s="33"/>
      <c r="D53" s="73"/>
      <c r="E53" s="35"/>
    </row>
    <row r="54" spans="1:7" s="417" customFormat="1" ht="15.75" customHeight="1" x14ac:dyDescent="0.25">
      <c r="A54" s="72"/>
      <c r="B54" s="72"/>
      <c r="C54" s="72"/>
      <c r="D54" s="72"/>
      <c r="E54" s="72"/>
    </row>
    <row r="55" spans="1:7" s="417" customFormat="1" ht="16.5" customHeight="1" x14ac:dyDescent="0.3">
      <c r="A55" s="75" t="s">
        <v>20</v>
      </c>
      <c r="B55" s="40" t="s">
        <v>21</v>
      </c>
      <c r="C55" s="39"/>
      <c r="D55" s="39"/>
      <c r="E55" s="39"/>
    </row>
    <row r="56" spans="1:7" ht="16.5" customHeight="1" x14ac:dyDescent="0.3">
      <c r="A56" s="75"/>
      <c r="B56" s="40" t="s">
        <v>22</v>
      </c>
      <c r="C56" s="39"/>
      <c r="D56" s="39"/>
      <c r="E56" s="39"/>
    </row>
    <row r="57" spans="1:7" ht="16.5" customHeight="1" x14ac:dyDescent="0.3">
      <c r="A57" s="75"/>
      <c r="B57" s="40" t="s">
        <v>23</v>
      </c>
      <c r="C57" s="39"/>
      <c r="D57" s="39"/>
      <c r="E57" s="39"/>
    </row>
    <row r="58" spans="1:7" ht="14.25" customHeight="1" thickBot="1" x14ac:dyDescent="0.3">
      <c r="A58" s="41"/>
      <c r="B58" s="333"/>
      <c r="D58" s="43"/>
      <c r="F58" s="44"/>
      <c r="G58" s="44"/>
    </row>
    <row r="59" spans="1:7" ht="15" customHeight="1" x14ac:dyDescent="0.3">
      <c r="B59" s="467" t="s">
        <v>25</v>
      </c>
      <c r="C59" s="467"/>
      <c r="E59" s="45" t="s">
        <v>26</v>
      </c>
      <c r="F59" s="46"/>
      <c r="G59" s="45" t="s">
        <v>27</v>
      </c>
    </row>
    <row r="60" spans="1:7" ht="15" customHeight="1" x14ac:dyDescent="0.3">
      <c r="A60" s="47" t="s">
        <v>28</v>
      </c>
      <c r="B60" s="49"/>
      <c r="C60" s="49"/>
      <c r="E60" s="49"/>
      <c r="G60" s="49"/>
    </row>
    <row r="61" spans="1:7" ht="15" customHeight="1" x14ac:dyDescent="0.3">
      <c r="A61" s="47" t="s">
        <v>29</v>
      </c>
      <c r="B61" s="50"/>
      <c r="C61" s="50"/>
      <c r="E61" s="50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SST</vt:lpstr>
      <vt:lpstr>Uniformity</vt:lpstr>
      <vt:lpstr>SULPHAMETHOXAZOLE</vt:lpstr>
      <vt:lpstr>TRIMETHROPRIM</vt:lpstr>
      <vt:lpstr>SST (Trim)</vt:lpstr>
      <vt:lpstr>SULPHAMETHOXAZOLE!Print_Area</vt:lpstr>
      <vt:lpstr>TRIMETHROPRIM!Print_Area</vt:lpstr>
      <vt:lpstr>Uniformity!Print_Area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m&amp;c</dc:creator>
  <cp:keywords/>
  <dc:description/>
  <cp:lastModifiedBy>Joy</cp:lastModifiedBy>
  <cp:lastPrinted>2015-06-16T11:30:53Z</cp:lastPrinted>
  <dcterms:created xsi:type="dcterms:W3CDTF">2005-07-05T10:19:27Z</dcterms:created>
  <dcterms:modified xsi:type="dcterms:W3CDTF">2015-06-16T11:31:48Z</dcterms:modified>
  <cp:category/>
</cp:coreProperties>
</file>