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20775" windowHeight="11445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70" i="3" l="1"/>
  <c r="F113" i="3"/>
  <c r="C120" i="3"/>
  <c r="B116" i="3"/>
  <c r="D100" i="3" s="1"/>
  <c r="B98" i="3"/>
  <c r="F95" i="3"/>
  <c r="I92" i="3" s="1"/>
  <c r="B87" i="3"/>
  <c r="D97" i="3" s="1"/>
  <c r="B83" i="3"/>
  <c r="B81" i="3"/>
  <c r="B79" i="3"/>
  <c r="C76" i="3"/>
  <c r="B68" i="3"/>
  <c r="C56" i="3"/>
  <c r="B55" i="3"/>
  <c r="B45" i="3"/>
  <c r="D48" i="3" s="1"/>
  <c r="E41" i="3" s="1"/>
  <c r="F42" i="3"/>
  <c r="D42" i="3"/>
  <c r="B34" i="3"/>
  <c r="D44" i="3" s="1"/>
  <c r="B30" i="3"/>
  <c r="C49" i="2"/>
  <c r="C46" i="2"/>
  <c r="B57" i="3" s="1"/>
  <c r="C45" i="2"/>
  <c r="D43" i="2"/>
  <c r="D39" i="2"/>
  <c r="D35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F44" i="3"/>
  <c r="F45" i="3" s="1"/>
  <c r="G40" i="3" s="1"/>
  <c r="I39" i="3"/>
  <c r="D98" i="3"/>
  <c r="D99" i="3" s="1"/>
  <c r="F97" i="3"/>
  <c r="F98" i="3" s="1"/>
  <c r="F99" i="3" s="1"/>
  <c r="D45" i="3"/>
  <c r="D46" i="3" s="1"/>
  <c r="G41" i="3"/>
  <c r="B69" i="3"/>
  <c r="D102" i="3"/>
  <c r="E93" i="3"/>
  <c r="G94" i="3"/>
  <c r="D33" i="2"/>
  <c r="D37" i="2"/>
  <c r="D41" i="2"/>
  <c r="C50" i="2"/>
  <c r="D26" i="2"/>
  <c r="D30" i="2"/>
  <c r="D34" i="2"/>
  <c r="D38" i="2"/>
  <c r="D42" i="2"/>
  <c r="B49" i="2"/>
  <c r="D50" i="2"/>
  <c r="D49" i="3"/>
  <c r="D24" i="2"/>
  <c r="D28" i="2"/>
  <c r="D32" i="2"/>
  <c r="D36" i="2"/>
  <c r="D40" i="2"/>
  <c r="D49" i="2"/>
  <c r="E91" i="3" l="1"/>
  <c r="E92" i="3"/>
  <c r="E94" i="3"/>
  <c r="G91" i="3"/>
  <c r="G92" i="3"/>
  <c r="G93" i="3"/>
  <c r="G38" i="3"/>
  <c r="F46" i="3"/>
  <c r="E38" i="3"/>
  <c r="E39" i="3"/>
  <c r="G39" i="3"/>
  <c r="E40" i="3"/>
  <c r="E95" i="3" l="1"/>
  <c r="D103" i="3"/>
  <c r="E110" i="3" s="1"/>
  <c r="F110" i="3" s="1"/>
  <c r="D105" i="3"/>
  <c r="G95" i="3"/>
  <c r="D51" i="3"/>
  <c r="G42" i="3"/>
  <c r="D50" i="3"/>
  <c r="G65" i="3" s="1"/>
  <c r="E42" i="3"/>
  <c r="D52" i="3"/>
  <c r="G67" i="3"/>
  <c r="H67" i="3" s="1"/>
  <c r="E112" i="3" l="1"/>
  <c r="F112" i="3" s="1"/>
  <c r="D104" i="3"/>
  <c r="E113" i="3"/>
  <c r="E111" i="3"/>
  <c r="F111" i="3" s="1"/>
  <c r="E108" i="3"/>
  <c r="F108" i="3" s="1"/>
  <c r="E109" i="3"/>
  <c r="F109" i="3" s="1"/>
  <c r="G62" i="3"/>
  <c r="H62" i="3" s="1"/>
  <c r="G70" i="3"/>
  <c r="G64" i="3"/>
  <c r="G63" i="3"/>
  <c r="H63" i="3" s="1"/>
  <c r="G68" i="3"/>
  <c r="H68" i="3" s="1"/>
  <c r="G61" i="3"/>
  <c r="H61" i="3" s="1"/>
  <c r="G71" i="3"/>
  <c r="H71" i="3" s="1"/>
  <c r="G66" i="3"/>
  <c r="G60" i="3"/>
  <c r="H60" i="3" s="1"/>
  <c r="G69" i="3"/>
  <c r="H69" i="3" s="1"/>
  <c r="F115" i="3" l="1"/>
  <c r="G120" i="3" s="1"/>
  <c r="F117" i="3"/>
  <c r="H72" i="3"/>
  <c r="G76" i="3" s="1"/>
  <c r="H74" i="3"/>
  <c r="F116" i="3" l="1"/>
  <c r="H73" i="3"/>
</calcChain>
</file>

<file path=xl/sharedStrings.xml><?xml version="1.0" encoding="utf-8"?>
<sst xmlns="http://schemas.openxmlformats.org/spreadsheetml/2006/main" count="234" uniqueCount="127">
  <si>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</si>
  <si>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</si>
  <si>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</si>
  <si>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</si>
  <si>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</si>
  <si>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</si>
  <si>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</si>
  <si>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NDQD201504200</t>
  </si>
  <si>
    <t>Weight (mg):</t>
  </si>
  <si>
    <t>Nevirapine USP</t>
  </si>
  <si>
    <t>Standard Conc (mg/mL):</t>
  </si>
  <si>
    <t xml:space="preserve">Nevirapine USP 200mg </t>
  </si>
  <si>
    <t>2015-04-22 14:06:42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</si>
  <si>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</si>
  <si>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</si>
  <si>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</si>
  <si>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</si>
  <si>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</si>
  <si>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</si>
  <si>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</si>
  <si>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</si>
  <si>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</si>
  <si>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</si>
  <si>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</si>
  <si>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</si>
  <si>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</si>
  <si>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</si>
  <si>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</si>
  <si>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</si>
  <si>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</si>
  <si>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</si>
  <si>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</si>
  <si>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</si>
  <si>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</si>
  <si>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</si>
  <si>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</si>
  <si>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</si>
  <si>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</si>
  <si>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</si>
  <si>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</si>
  <si>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</si>
  <si>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</si>
  <si>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</si>
  <si>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</si>
  <si>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</si>
  <si>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</si>
  <si>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</si>
  <si>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</si>
  <si>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</si>
  <si>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</si>
  <si>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</si>
  <si>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</si>
  <si>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</si>
  <si>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</si>
  <si>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</si>
  <si>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</si>
  <si>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</si>
  <si>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</si>
  <si>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</si>
  <si>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</si>
  <si>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</si>
  <si>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</si>
  <si>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</si>
  <si>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</si>
  <si>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</si>
  <si>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</si>
  <si>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</si>
  <si>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</si>
  <si>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</si>
  <si>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</si>
  <si>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</si>
  <si>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</si>
  <si>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</si>
  <si>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</si>
  <si>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</si>
  <si>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</si>
  <si>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</si>
  <si>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</si>
  <si>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</si>
  <si>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</si>
  <si>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</si>
  <si>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</si>
  <si>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</si>
  <si>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</si>
  <si>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</si>
  <si>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</si>
  <si>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</si>
  <si>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</si>
  <si>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</si>
  <si>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</si>
  <si>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</si>
  <si>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</si>
  <si>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</si>
  <si>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</si>
  <si>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</si>
  <si>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</si>
  <si>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</si>
  <si>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</si>
  <si>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</si>
  <si>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</si>
  <si>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</si>
  <si>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</si>
  <si>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</si>
  <si>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</si>
  <si>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</si>
  <si>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</si>
  <si>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</si>
  <si>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</si>
  <si>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</si>
  <si>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</si>
  <si>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</si>
  <si>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</si>
  <si>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</si>
  <si>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</si>
  <si>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</si>
  <si>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</si>
  <si>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</si>
  <si>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</si>
  <si>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</si>
  <si>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</si>
  <si>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</si>
  <si>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</si>
  <si>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</si>
  <si>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</si>
  <si>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</si>
  <si>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PRS/N1/1</t>
  </si>
  <si>
    <t xml:space="preserve">NEVIRAPINE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</si>
</sst>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0%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5" xfId="0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3" fontId="11" fillId="6" borderId="41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6" workbookViewId="0">
      <selection activeCell="C39" sqref="C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0" t="s">
        <v>0</v>
      </c>
      <c r="B15" s="280"/>
      <c r="C15" s="280"/>
      <c r="D15" s="280"/>
      <c r="E15" s="2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22.35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56809584</v>
      </c>
      <c r="C24" s="18">
        <v>8319.4</v>
      </c>
      <c r="D24" s="19">
        <v>1.08</v>
      </c>
      <c r="E24" s="20">
        <v>4.91</v>
      </c>
    </row>
    <row r="25" spans="1:6" ht="16.5" customHeight="1" x14ac:dyDescent="0.3">
      <c r="A25" s="17">
        <v>2</v>
      </c>
      <c r="B25" s="18">
        <v>56870474</v>
      </c>
      <c r="C25" s="18">
        <v>8294.1</v>
      </c>
      <c r="D25" s="19">
        <v>1.07</v>
      </c>
      <c r="E25" s="19">
        <v>4.91</v>
      </c>
    </row>
    <row r="26" spans="1:6" ht="16.5" customHeight="1" x14ac:dyDescent="0.3">
      <c r="A26" s="17">
        <v>3</v>
      </c>
      <c r="B26" s="18">
        <v>57023885</v>
      </c>
      <c r="C26" s="18">
        <v>8320.7999999999993</v>
      </c>
      <c r="D26" s="19">
        <v>1.0900000000000001</v>
      </c>
      <c r="E26" s="19">
        <v>4.92</v>
      </c>
    </row>
    <row r="27" spans="1:6" ht="16.5" customHeight="1" x14ac:dyDescent="0.3">
      <c r="A27" s="17">
        <v>4</v>
      </c>
      <c r="B27" s="18">
        <v>56816363</v>
      </c>
      <c r="C27" s="18">
        <v>8264</v>
      </c>
      <c r="D27" s="19">
        <v>1.1000000000000001</v>
      </c>
      <c r="E27" s="19">
        <v>4.91</v>
      </c>
    </row>
    <row r="28" spans="1:6" ht="16.5" customHeight="1" x14ac:dyDescent="0.3">
      <c r="A28" s="17">
        <v>5</v>
      </c>
      <c r="B28" s="18">
        <v>56860742</v>
      </c>
      <c r="C28" s="18">
        <v>8271</v>
      </c>
      <c r="D28" s="19">
        <v>1.07</v>
      </c>
      <c r="E28" s="19">
        <v>4.91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56876209.600000001</v>
      </c>
      <c r="C30" s="25">
        <f>AVERAGE(C24:C29)</f>
        <v>8293.86</v>
      </c>
      <c r="D30" s="26">
        <f>AVERAGE(D24:D29)</f>
        <v>1.0820000000000001</v>
      </c>
      <c r="E30" s="26">
        <f>AVERAGE(E24:E29)</f>
        <v>4.9119999999999999</v>
      </c>
    </row>
    <row r="31" spans="1:6" ht="16.5" customHeight="1" x14ac:dyDescent="0.3">
      <c r="A31" s="27" t="s">
        <v>19</v>
      </c>
      <c r="B31" s="28">
        <f>(STDEV(B24:B29)/B30)</f>
        <v>1.5252043768281187E-3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126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18.63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25030094</v>
      </c>
      <c r="C45" s="18">
        <v>8236.9</v>
      </c>
      <c r="D45" s="19">
        <v>1.0900000000000001</v>
      </c>
      <c r="E45" s="20">
        <v>5.1100000000000003</v>
      </c>
    </row>
    <row r="46" spans="1:6" ht="16.5" customHeight="1" x14ac:dyDescent="0.3">
      <c r="A46" s="17">
        <v>2</v>
      </c>
      <c r="B46" s="18">
        <v>25149323</v>
      </c>
      <c r="C46" s="18">
        <v>8230.7000000000007</v>
      </c>
      <c r="D46" s="19">
        <v>1.06</v>
      </c>
      <c r="E46" s="19">
        <v>5.1100000000000003</v>
      </c>
    </row>
    <row r="47" spans="1:6" ht="16.5" customHeight="1" x14ac:dyDescent="0.3">
      <c r="A47" s="17">
        <v>3</v>
      </c>
      <c r="B47" s="18">
        <v>25926175</v>
      </c>
      <c r="C47" s="18">
        <v>8194.5</v>
      </c>
      <c r="D47" s="19">
        <v>1.08</v>
      </c>
      <c r="E47" s="19">
        <v>5.1100000000000003</v>
      </c>
    </row>
    <row r="48" spans="1:6" ht="16.5" customHeight="1" x14ac:dyDescent="0.3">
      <c r="A48" s="17">
        <v>4</v>
      </c>
      <c r="B48" s="18">
        <v>25854089</v>
      </c>
      <c r="C48" s="18">
        <v>8112.2</v>
      </c>
      <c r="D48" s="19">
        <v>1.0900000000000001</v>
      </c>
      <c r="E48" s="19">
        <v>5.1100000000000003</v>
      </c>
    </row>
    <row r="49" spans="1:7" ht="16.5" customHeight="1" x14ac:dyDescent="0.3">
      <c r="A49" s="17">
        <v>5</v>
      </c>
      <c r="B49" s="18">
        <v>25890875</v>
      </c>
      <c r="C49" s="18">
        <v>8165.5</v>
      </c>
      <c r="D49" s="19">
        <v>1.08</v>
      </c>
      <c r="E49" s="19">
        <v>5.1100000000000003</v>
      </c>
    </row>
    <row r="50" spans="1:7" ht="16.5" customHeight="1" x14ac:dyDescent="0.3">
      <c r="A50" s="17">
        <v>6</v>
      </c>
      <c r="B50" s="21">
        <v>25944445</v>
      </c>
      <c r="C50" s="21">
        <v>8197.9</v>
      </c>
      <c r="D50" s="22">
        <v>1.07</v>
      </c>
      <c r="E50" s="22">
        <v>5.12</v>
      </c>
    </row>
    <row r="51" spans="1:7" ht="16.5" customHeight="1" x14ac:dyDescent="0.3">
      <c r="A51" s="23" t="s">
        <v>18</v>
      </c>
      <c r="B51" s="24">
        <f>AVERAGE(B45:B50)</f>
        <v>25632500.166666668</v>
      </c>
      <c r="C51" s="25">
        <f>AVERAGE(C45:C50)</f>
        <v>8189.6166666666659</v>
      </c>
      <c r="D51" s="26">
        <f>AVERAGE(D45:D50)</f>
        <v>1.0783333333333334</v>
      </c>
      <c r="E51" s="26">
        <f>AVERAGE(E45:E50)</f>
        <v>5.1116666666666672</v>
      </c>
    </row>
    <row r="52" spans="1:7" ht="16.5" customHeight="1" x14ac:dyDescent="0.3">
      <c r="A52" s="27" t="s">
        <v>19</v>
      </c>
      <c r="B52" s="28">
        <f>(STDEV(B45:B50)/B51)</f>
        <v>1.6512831999549418E-2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1" t="s">
        <v>26</v>
      </c>
      <c r="C59" s="28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5" t="s">
        <v>31</v>
      </c>
      <c r="B11" s="286"/>
      <c r="C11" s="286"/>
      <c r="D11" s="286"/>
      <c r="E11" s="286"/>
      <c r="F11" s="287"/>
      <c r="G11" s="91"/>
    </row>
    <row r="12" spans="1:7" ht="16.5" customHeight="1" x14ac:dyDescent="0.3">
      <c r="A12" s="284" t="s">
        <v>32</v>
      </c>
      <c r="B12" s="284"/>
      <c r="C12" s="284"/>
      <c r="D12" s="284"/>
      <c r="E12" s="284"/>
      <c r="F12" s="284"/>
      <c r="G12" s="90"/>
    </row>
    <row r="14" spans="1:7" ht="16.5" customHeight="1" x14ac:dyDescent="0.3">
      <c r="A14" s="289" t="s">
        <v>33</v>
      </c>
      <c r="B14" s="289"/>
      <c r="C14" s="60" t="s">
        <v>5</v>
      </c>
    </row>
    <row r="15" spans="1:7" ht="16.5" customHeight="1" x14ac:dyDescent="0.3">
      <c r="A15" s="289" t="s">
        <v>34</v>
      </c>
      <c r="B15" s="289"/>
      <c r="C15" s="60" t="s">
        <v>7</v>
      </c>
    </row>
    <row r="16" spans="1:7" ht="16.5" customHeight="1" x14ac:dyDescent="0.3">
      <c r="A16" s="289" t="s">
        <v>35</v>
      </c>
      <c r="B16" s="289"/>
      <c r="C16" s="60" t="s">
        <v>9</v>
      </c>
    </row>
    <row r="17" spans="1:5" ht="16.5" customHeight="1" x14ac:dyDescent="0.3">
      <c r="A17" s="289" t="s">
        <v>36</v>
      </c>
      <c r="B17" s="289"/>
      <c r="C17" s="60" t="s">
        <v>11</v>
      </c>
    </row>
    <row r="18" spans="1:5" ht="16.5" customHeight="1" x14ac:dyDescent="0.3">
      <c r="A18" s="289" t="s">
        <v>37</v>
      </c>
      <c r="B18" s="289"/>
      <c r="C18" s="97" t="s">
        <v>12</v>
      </c>
    </row>
    <row r="19" spans="1:5" ht="16.5" customHeight="1" x14ac:dyDescent="0.3">
      <c r="A19" s="289" t="s">
        <v>38</v>
      </c>
      <c r="B19" s="2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4" t="s">
        <v>1</v>
      </c>
      <c r="B21" s="284"/>
      <c r="C21" s="59" t="s">
        <v>39</v>
      </c>
      <c r="D21" s="66"/>
    </row>
    <row r="22" spans="1:5" ht="15.75" customHeight="1" x14ac:dyDescent="0.3">
      <c r="A22" s="288"/>
      <c r="B22" s="288"/>
      <c r="C22" s="57"/>
      <c r="D22" s="288"/>
      <c r="E22" s="288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364.53</v>
      </c>
      <c r="D24" s="87">
        <f t="shared" ref="D24:D43" si="0">(C24-$C$46)/$C$46</f>
        <v>9.1368506724949089E-3</v>
      </c>
      <c r="E24" s="53"/>
    </row>
    <row r="25" spans="1:5" ht="15.75" customHeight="1" x14ac:dyDescent="0.3">
      <c r="C25" s="95">
        <v>355.58</v>
      </c>
      <c r="D25" s="88">
        <f t="shared" si="0"/>
        <v>-1.5639641834346279E-2</v>
      </c>
      <c r="E25" s="53"/>
    </row>
    <row r="26" spans="1:5" ht="15.75" customHeight="1" x14ac:dyDescent="0.3">
      <c r="C26" s="95">
        <v>366.95</v>
      </c>
      <c r="D26" s="88">
        <f t="shared" si="0"/>
        <v>1.5836192780490008E-2</v>
      </c>
      <c r="E26" s="53"/>
    </row>
    <row r="27" spans="1:5" ht="15.75" customHeight="1" x14ac:dyDescent="0.3">
      <c r="C27" s="95">
        <v>358.51</v>
      </c>
      <c r="D27" s="88">
        <f t="shared" si="0"/>
        <v>-7.5284549019390239E-3</v>
      </c>
      <c r="E27" s="53"/>
    </row>
    <row r="28" spans="1:5" ht="15.75" customHeight="1" x14ac:dyDescent="0.3">
      <c r="C28" s="95">
        <v>354.76</v>
      </c>
      <c r="D28" s="88">
        <f t="shared" si="0"/>
        <v>-1.7909666846146238E-2</v>
      </c>
      <c r="E28" s="53"/>
    </row>
    <row r="29" spans="1:5" ht="15.75" customHeight="1" x14ac:dyDescent="0.3">
      <c r="C29" s="95">
        <v>364.33</v>
      </c>
      <c r="D29" s="88">
        <f t="shared" si="0"/>
        <v>8.5831860354705566E-3</v>
      </c>
      <c r="E29" s="53"/>
    </row>
    <row r="30" spans="1:5" ht="15.75" customHeight="1" x14ac:dyDescent="0.3">
      <c r="C30" s="95">
        <v>366.26</v>
      </c>
      <c r="D30" s="88">
        <f t="shared" si="0"/>
        <v>1.3926049782755889E-2</v>
      </c>
      <c r="E30" s="53"/>
    </row>
    <row r="31" spans="1:5" ht="15.75" customHeight="1" x14ac:dyDescent="0.3">
      <c r="C31" s="95">
        <v>364.72</v>
      </c>
      <c r="D31" s="88">
        <f t="shared" si="0"/>
        <v>9.6628320776682257E-3</v>
      </c>
      <c r="E31" s="53"/>
    </row>
    <row r="32" spans="1:5" ht="15.75" customHeight="1" x14ac:dyDescent="0.3">
      <c r="C32" s="95">
        <v>366.31</v>
      </c>
      <c r="D32" s="88">
        <f t="shared" si="0"/>
        <v>1.4064465942012015E-2</v>
      </c>
      <c r="E32" s="53"/>
    </row>
    <row r="33" spans="1:7" ht="15.75" customHeight="1" x14ac:dyDescent="0.3">
      <c r="C33" s="95">
        <v>355.31</v>
      </c>
      <c r="D33" s="88">
        <f t="shared" si="0"/>
        <v>-1.6387089094329149E-2</v>
      </c>
      <c r="E33" s="53"/>
    </row>
    <row r="34" spans="1:7" ht="15.75" customHeight="1" x14ac:dyDescent="0.3">
      <c r="C34" s="95">
        <v>367.93</v>
      </c>
      <c r="D34" s="88">
        <f t="shared" si="0"/>
        <v>1.8549149501909546E-2</v>
      </c>
      <c r="E34" s="53"/>
    </row>
    <row r="35" spans="1:7" ht="15.75" customHeight="1" x14ac:dyDescent="0.3">
      <c r="C35" s="95">
        <v>363.85</v>
      </c>
      <c r="D35" s="88">
        <f t="shared" si="0"/>
        <v>7.254390906612139E-3</v>
      </c>
      <c r="E35" s="53"/>
    </row>
    <row r="36" spans="1:7" ht="15.75" customHeight="1" x14ac:dyDescent="0.3">
      <c r="C36" s="95">
        <v>361.05</v>
      </c>
      <c r="D36" s="88">
        <f t="shared" si="0"/>
        <v>-4.9691401172927965E-4</v>
      </c>
      <c r="E36" s="53"/>
    </row>
    <row r="37" spans="1:7" ht="15.75" customHeight="1" x14ac:dyDescent="0.3">
      <c r="C37" s="95">
        <v>355.04</v>
      </c>
      <c r="D37" s="88">
        <f t="shared" si="0"/>
        <v>-1.713453635431202E-2</v>
      </c>
      <c r="E37" s="53"/>
    </row>
    <row r="38" spans="1:7" ht="15.75" customHeight="1" x14ac:dyDescent="0.3">
      <c r="C38" s="95">
        <v>371.37</v>
      </c>
      <c r="D38" s="88">
        <f t="shared" si="0"/>
        <v>2.8072181258728957E-2</v>
      </c>
      <c r="E38" s="53"/>
    </row>
    <row r="39" spans="1:7" ht="15.75" customHeight="1" x14ac:dyDescent="0.3">
      <c r="C39" s="95">
        <v>359.24</v>
      </c>
      <c r="D39" s="88">
        <f t="shared" si="0"/>
        <v>-5.5075789767999681E-3</v>
      </c>
      <c r="E39" s="53"/>
    </row>
    <row r="40" spans="1:7" ht="15.75" customHeight="1" x14ac:dyDescent="0.3">
      <c r="C40" s="95">
        <v>361.08</v>
      </c>
      <c r="D40" s="88">
        <f t="shared" si="0"/>
        <v>-4.1386431617569745E-4</v>
      </c>
      <c r="E40" s="53"/>
    </row>
    <row r="41" spans="1:7" ht="15.75" customHeight="1" x14ac:dyDescent="0.3">
      <c r="C41" s="95">
        <v>356.9</v>
      </c>
      <c r="D41" s="88">
        <f t="shared" si="0"/>
        <v>-1.198545522998536E-2</v>
      </c>
      <c r="E41" s="53"/>
    </row>
    <row r="42" spans="1:7" ht="15.75" customHeight="1" x14ac:dyDescent="0.3">
      <c r="C42" s="95">
        <v>356.49</v>
      </c>
      <c r="D42" s="88">
        <f t="shared" si="0"/>
        <v>-1.3120467735885259E-2</v>
      </c>
      <c r="E42" s="53"/>
    </row>
    <row r="43" spans="1:7" ht="16.5" customHeight="1" x14ac:dyDescent="0.3">
      <c r="C43" s="96">
        <v>354.38</v>
      </c>
      <c r="D43" s="89">
        <f t="shared" si="0"/>
        <v>-1.8961629656492559E-2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7224.5899999999992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361.22949999999997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2">
        <f>C46</f>
        <v>361.22949999999997</v>
      </c>
      <c r="C49" s="93">
        <f>-IF(C46&lt;=80,10%,IF(C46&lt;250,7.5%,5%))</f>
        <v>-0.05</v>
      </c>
      <c r="D49" s="81">
        <f>IF(C46&lt;=80,C46*0.9,IF(C46&lt;250,C46*0.925,C46*0.95))</f>
        <v>343.16802499999994</v>
      </c>
    </row>
    <row r="50" spans="1:6" ht="17.25" customHeight="1" x14ac:dyDescent="0.3">
      <c r="B50" s="283"/>
      <c r="C50" s="94">
        <f>IF(C46&lt;=80, 10%, IF(C46&lt;250, 7.5%, 5%))</f>
        <v>0.05</v>
      </c>
      <c r="D50" s="81">
        <f>IF(C46&lt;=80, C46*1.1, IF(C46&lt;250, C46*1.075, C46*1.05))</f>
        <v>379.290975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5" zoomScale="50" zoomScaleNormal="40" zoomScalePageLayoutView="50" workbookViewId="0">
      <selection activeCell="E79" sqref="E7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8" t="s">
        <v>45</v>
      </c>
      <c r="B1" s="318"/>
      <c r="C1" s="318"/>
      <c r="D1" s="318"/>
      <c r="E1" s="318"/>
      <c r="F1" s="318"/>
      <c r="G1" s="318"/>
      <c r="H1" s="318"/>
      <c r="I1" s="318"/>
    </row>
    <row r="2" spans="1:9" ht="18.75" customHeight="1" x14ac:dyDescent="0.25">
      <c r="A2" s="318"/>
      <c r="B2" s="318"/>
      <c r="C2" s="318"/>
      <c r="D2" s="318"/>
      <c r="E2" s="318"/>
      <c r="F2" s="318"/>
      <c r="G2" s="318"/>
      <c r="H2" s="318"/>
      <c r="I2" s="318"/>
    </row>
    <row r="3" spans="1:9" ht="18.75" customHeight="1" x14ac:dyDescent="0.25">
      <c r="A3" s="318"/>
      <c r="B3" s="318"/>
      <c r="C3" s="318"/>
      <c r="D3" s="318"/>
      <c r="E3" s="318"/>
      <c r="F3" s="318"/>
      <c r="G3" s="318"/>
      <c r="H3" s="318"/>
      <c r="I3" s="318"/>
    </row>
    <row r="4" spans="1:9" ht="18.75" customHeight="1" x14ac:dyDescent="0.25">
      <c r="A4" s="318"/>
      <c r="B4" s="318"/>
      <c r="C4" s="318"/>
      <c r="D4" s="318"/>
      <c r="E4" s="318"/>
      <c r="F4" s="318"/>
      <c r="G4" s="318"/>
      <c r="H4" s="318"/>
      <c r="I4" s="318"/>
    </row>
    <row r="5" spans="1:9" ht="18.75" customHeight="1" x14ac:dyDescent="0.25">
      <c r="A5" s="318"/>
      <c r="B5" s="318"/>
      <c r="C5" s="318"/>
      <c r="D5" s="318"/>
      <c r="E5" s="318"/>
      <c r="F5" s="318"/>
      <c r="G5" s="318"/>
      <c r="H5" s="318"/>
      <c r="I5" s="318"/>
    </row>
    <row r="6" spans="1:9" ht="18.75" customHeight="1" x14ac:dyDescent="0.25">
      <c r="A6" s="318"/>
      <c r="B6" s="318"/>
      <c r="C6" s="318"/>
      <c r="D6" s="318"/>
      <c r="E6" s="318"/>
      <c r="F6" s="318"/>
      <c r="G6" s="318"/>
      <c r="H6" s="318"/>
      <c r="I6" s="318"/>
    </row>
    <row r="7" spans="1:9" ht="18.75" customHeight="1" x14ac:dyDescent="0.25">
      <c r="A7" s="318"/>
      <c r="B7" s="318"/>
      <c r="C7" s="318"/>
      <c r="D7" s="318"/>
      <c r="E7" s="318"/>
      <c r="F7" s="318"/>
      <c r="G7" s="318"/>
      <c r="H7" s="318"/>
      <c r="I7" s="318"/>
    </row>
    <row r="8" spans="1:9" x14ac:dyDescent="0.25">
      <c r="A8" s="319" t="s">
        <v>46</v>
      </c>
      <c r="B8" s="319"/>
      <c r="C8" s="319"/>
      <c r="D8" s="319"/>
      <c r="E8" s="319"/>
      <c r="F8" s="319"/>
      <c r="G8" s="319"/>
      <c r="H8" s="319"/>
      <c r="I8" s="319"/>
    </row>
    <row r="9" spans="1:9" x14ac:dyDescent="0.25">
      <c r="A9" s="319"/>
      <c r="B9" s="319"/>
      <c r="C9" s="319"/>
      <c r="D9" s="319"/>
      <c r="E9" s="319"/>
      <c r="F9" s="319"/>
      <c r="G9" s="319"/>
      <c r="H9" s="319"/>
      <c r="I9" s="319"/>
    </row>
    <row r="10" spans="1:9" x14ac:dyDescent="0.25">
      <c r="A10" s="319"/>
      <c r="B10" s="319"/>
      <c r="C10" s="319"/>
      <c r="D10" s="319"/>
      <c r="E10" s="319"/>
      <c r="F10" s="319"/>
      <c r="G10" s="319"/>
      <c r="H10" s="319"/>
      <c r="I10" s="319"/>
    </row>
    <row r="11" spans="1:9" x14ac:dyDescent="0.25">
      <c r="A11" s="319"/>
      <c r="B11" s="319"/>
      <c r="C11" s="319"/>
      <c r="D11" s="319"/>
      <c r="E11" s="319"/>
      <c r="F11" s="319"/>
      <c r="G11" s="319"/>
      <c r="H11" s="319"/>
      <c r="I11" s="319"/>
    </row>
    <row r="12" spans="1:9" x14ac:dyDescent="0.25">
      <c r="A12" s="319"/>
      <c r="B12" s="319"/>
      <c r="C12" s="319"/>
      <c r="D12" s="319"/>
      <c r="E12" s="319"/>
      <c r="F12" s="319"/>
      <c r="G12" s="319"/>
      <c r="H12" s="319"/>
      <c r="I12" s="319"/>
    </row>
    <row r="13" spans="1:9" x14ac:dyDescent="0.25">
      <c r="A13" s="319"/>
      <c r="B13" s="319"/>
      <c r="C13" s="319"/>
      <c r="D13" s="319"/>
      <c r="E13" s="319"/>
      <c r="F13" s="319"/>
      <c r="G13" s="319"/>
      <c r="H13" s="319"/>
      <c r="I13" s="319"/>
    </row>
    <row r="14" spans="1:9" x14ac:dyDescent="0.25">
      <c r="A14" s="319"/>
      <c r="B14" s="319"/>
      <c r="C14" s="319"/>
      <c r="D14" s="319"/>
      <c r="E14" s="319"/>
      <c r="F14" s="319"/>
      <c r="G14" s="319"/>
      <c r="H14" s="319"/>
      <c r="I14" s="319"/>
    </row>
    <row r="15" spans="1:9" ht="19.5" customHeight="1" x14ac:dyDescent="0.3">
      <c r="A15" s="98"/>
    </row>
    <row r="16" spans="1:9" ht="19.5" customHeight="1" x14ac:dyDescent="0.3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100" t="s">
        <v>33</v>
      </c>
      <c r="B18" s="290" t="s">
        <v>5</v>
      </c>
      <c r="C18" s="290"/>
      <c r="D18" s="268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0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5" t="s">
        <v>9</v>
      </c>
      <c r="C20" s="295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5" t="s">
        <v>11</v>
      </c>
      <c r="C21" s="295"/>
      <c r="D21" s="295"/>
      <c r="E21" s="295"/>
      <c r="F21" s="295"/>
      <c r="G21" s="295"/>
      <c r="H21" s="295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5" t="s">
        <v>9</v>
      </c>
      <c r="C26" s="295"/>
    </row>
    <row r="27" spans="1:14" ht="26.25" customHeight="1" x14ac:dyDescent="0.4">
      <c r="A27" s="109" t="s">
        <v>48</v>
      </c>
      <c r="B27" s="296" t="s">
        <v>125</v>
      </c>
      <c r="C27" s="296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297" t="s">
        <v>50</v>
      </c>
      <c r="D29" s="298"/>
      <c r="E29" s="298"/>
      <c r="F29" s="298"/>
      <c r="G29" s="29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0" t="s">
        <v>53</v>
      </c>
      <c r="D31" s="301"/>
      <c r="E31" s="301"/>
      <c r="F31" s="301"/>
      <c r="G31" s="301"/>
      <c r="H31" s="30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0" t="s">
        <v>55</v>
      </c>
      <c r="D32" s="301"/>
      <c r="E32" s="301"/>
      <c r="F32" s="301"/>
      <c r="G32" s="301"/>
      <c r="H32" s="3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3" t="s">
        <v>59</v>
      </c>
      <c r="E36" s="304"/>
      <c r="F36" s="303" t="s">
        <v>60</v>
      </c>
      <c r="G36" s="305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56665914</v>
      </c>
      <c r="E38" s="133">
        <f>IF(ISBLANK(D38),"-",$D$48/$D$45*D38)</f>
        <v>50809371.763661548</v>
      </c>
      <c r="F38" s="132">
        <v>56566672</v>
      </c>
      <c r="G38" s="134">
        <f>IF(ISBLANK(F38),"-",$D$48/$F$45*F38)</f>
        <v>52143543.757247716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56803877</v>
      </c>
      <c r="E39" s="138">
        <f>IF(ISBLANK(D39),"-",$D$48/$D$45*D39)</f>
        <v>50933075.995391227</v>
      </c>
      <c r="F39" s="137">
        <v>56691658</v>
      </c>
      <c r="G39" s="139">
        <f>IF(ISBLANK(F39),"-",$D$48/$F$45*F39)</f>
        <v>52258756.703840069</v>
      </c>
      <c r="I39" s="307">
        <f>ABS((F43/D43*D42)-F42)/D42</f>
        <v>2.6548394079278583E-2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56844394</v>
      </c>
      <c r="E40" s="138">
        <f>IF(ISBLANK(D40),"-",$D$48/$D$45*D40)</f>
        <v>50969405.477621906</v>
      </c>
      <c r="F40" s="137">
        <v>56929027</v>
      </c>
      <c r="G40" s="139">
        <f>IF(ISBLANK(F40),"-",$D$48/$F$45*F40)</f>
        <v>52477565.065734051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56771395</v>
      </c>
      <c r="E42" s="148">
        <f>AVERAGE(E38:E41)</f>
        <v>50903951.078891568</v>
      </c>
      <c r="F42" s="147">
        <f>AVERAGE(F38:F41)</f>
        <v>56729119</v>
      </c>
      <c r="G42" s="149">
        <f>AVERAGE(G38:G41)</f>
        <v>52293288.508940615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22.35</v>
      </c>
      <c r="E43" s="140"/>
      <c r="F43" s="152">
        <v>21.74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22.35</v>
      </c>
      <c r="E44" s="155"/>
      <c r="F44" s="154">
        <f>F43*$B$34</f>
        <v>21.74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22.305300000000003</v>
      </c>
      <c r="E45" s="158"/>
      <c r="F45" s="157">
        <f>F44*$B$30/100</f>
        <v>21.696519999999996</v>
      </c>
      <c r="H45" s="150"/>
    </row>
    <row r="46" spans="1:14" ht="19.5" customHeight="1" x14ac:dyDescent="0.3">
      <c r="A46" s="308" t="s">
        <v>78</v>
      </c>
      <c r="B46" s="309"/>
      <c r="C46" s="153" t="s">
        <v>79</v>
      </c>
      <c r="D46" s="159">
        <f>D45/$B$45</f>
        <v>0.22305300000000003</v>
      </c>
      <c r="E46" s="160"/>
      <c r="F46" s="161">
        <f>F45/$B$45</f>
        <v>0.21696519999999997</v>
      </c>
      <c r="H46" s="150"/>
    </row>
    <row r="47" spans="1:14" ht="27" customHeight="1" x14ac:dyDescent="0.4">
      <c r="A47" s="310"/>
      <c r="B47" s="311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51598619.793916084</v>
      </c>
      <c r="F50" s="170"/>
      <c r="H50" s="150"/>
    </row>
    <row r="51" spans="1:12" ht="18.75" x14ac:dyDescent="0.3">
      <c r="C51" s="124" t="s">
        <v>84</v>
      </c>
      <c r="D51" s="329">
        <f>STDEV(E38:E41,G38:G41)/D50</f>
        <v>1.4929269686697961E-2</v>
      </c>
      <c r="F51" s="170"/>
      <c r="H51" s="150"/>
    </row>
    <row r="52" spans="1:12" ht="19.5" customHeight="1" x14ac:dyDescent="0.3">
      <c r="C52" s="171" t="s">
        <v>20</v>
      </c>
      <c r="D52" s="172">
        <f>COUNT(E38:E41,G38:G41)</f>
        <v>6</v>
      </c>
      <c r="F52" s="170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 xml:space="preserve">Nevirapine USP 200mg </v>
      </c>
    </row>
    <row r="56" spans="1:12" ht="26.25" customHeight="1" x14ac:dyDescent="0.4">
      <c r="A56" s="176" t="s">
        <v>87</v>
      </c>
      <c r="B56" s="177">
        <v>200</v>
      </c>
      <c r="C56" s="99" t="str">
        <f>B20</f>
        <v>Nevirapine USP</v>
      </c>
      <c r="H56" s="178"/>
    </row>
    <row r="57" spans="1:12" ht="18.75" x14ac:dyDescent="0.3">
      <c r="A57" s="175" t="s">
        <v>88</v>
      </c>
      <c r="B57" s="269">
        <f>Uniformity!C46</f>
        <v>361.22949999999997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2" t="s">
        <v>94</v>
      </c>
      <c r="D60" s="315">
        <v>371.82</v>
      </c>
      <c r="E60" s="181">
        <v>1</v>
      </c>
      <c r="F60" s="182">
        <v>56242605</v>
      </c>
      <c r="G60" s="271">
        <f>IF(ISBLANK(F60),"-",(F60/$D$50*$D$47*$B$68)*($B$57/$D$60))</f>
        <v>211.79114682129497</v>
      </c>
      <c r="H60" s="183">
        <f t="shared" ref="H60:H71" si="0">IF(ISBLANK(F60),"-",G60/$B$56)</f>
        <v>1.0589557341064748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3"/>
      <c r="D61" s="316"/>
      <c r="E61" s="184">
        <v>2</v>
      </c>
      <c r="F61" s="137">
        <v>55384097</v>
      </c>
      <c r="G61" s="272">
        <f>IF(ISBLANK(F61),"-",(F61/$D$50*$D$47*$B$68)*($B$57/$D$60))</f>
        <v>208.55828813924683</v>
      </c>
      <c r="H61" s="185">
        <f t="shared" si="0"/>
        <v>1.0427914406962342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3"/>
      <c r="D62" s="316"/>
      <c r="E62" s="184">
        <v>3</v>
      </c>
      <c r="F62" s="186">
        <v>55870221</v>
      </c>
      <c r="G62" s="272">
        <f>IF(ISBLANK(F62),"-",(F62/$D$50*$D$47*$B$68)*($B$57/$D$60))</f>
        <v>210.38887119025156</v>
      </c>
      <c r="H62" s="185">
        <f t="shared" si="0"/>
        <v>1.0519443559512578</v>
      </c>
      <c r="L62" s="112"/>
    </row>
    <row r="63" spans="1:12" ht="27" customHeight="1" x14ac:dyDescent="0.4">
      <c r="A63" s="124" t="s">
        <v>97</v>
      </c>
      <c r="B63" s="125">
        <v>1</v>
      </c>
      <c r="C63" s="314"/>
      <c r="D63" s="317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2" t="s">
        <v>99</v>
      </c>
      <c r="D64" s="315">
        <v>361.96</v>
      </c>
      <c r="E64" s="181">
        <v>1</v>
      </c>
      <c r="F64" s="182">
        <v>52032451</v>
      </c>
      <c r="G64" s="273">
        <f>IF(ISBLANK(F64),"-",(F64/$D$50*$D$47*$B$68)*($B$57/$D$64))</f>
        <v>201.27453182916085</v>
      </c>
      <c r="H64" s="189"/>
    </row>
    <row r="65" spans="1:8" ht="26.25" customHeight="1" x14ac:dyDescent="0.4">
      <c r="A65" s="124" t="s">
        <v>100</v>
      </c>
      <c r="B65" s="125">
        <v>1</v>
      </c>
      <c r="C65" s="313"/>
      <c r="D65" s="316"/>
      <c r="E65" s="184">
        <v>2</v>
      </c>
      <c r="F65" s="137">
        <v>53587214</v>
      </c>
      <c r="G65" s="274">
        <f>IF(ISBLANK(F65),"-",(F65/$D$50*$D$47*$B$68)*($B$57/$D$64))</f>
        <v>207.28874390097542</v>
      </c>
      <c r="H65" s="190"/>
    </row>
    <row r="66" spans="1:8" ht="26.25" customHeight="1" x14ac:dyDescent="0.4">
      <c r="A66" s="124" t="s">
        <v>101</v>
      </c>
      <c r="B66" s="125">
        <v>1</v>
      </c>
      <c r="C66" s="313"/>
      <c r="D66" s="316"/>
      <c r="E66" s="184">
        <v>3</v>
      </c>
      <c r="F66" s="137">
        <v>51371122</v>
      </c>
      <c r="G66" s="274">
        <f>IF(ISBLANK(F66),"-",(F66/$D$50*$D$47*$B$68)*($B$57/$D$64))</f>
        <v>198.71634588362377</v>
      </c>
      <c r="H66" s="190"/>
    </row>
    <row r="67" spans="1:8" ht="27" customHeight="1" x14ac:dyDescent="0.4">
      <c r="A67" s="124" t="s">
        <v>102</v>
      </c>
      <c r="B67" s="125">
        <v>1</v>
      </c>
      <c r="C67" s="314"/>
      <c r="D67" s="317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103</v>
      </c>
      <c r="B68" s="192">
        <f>(B67/B66)*(B65/B64)*(B63/B62)*(B61/B60)*B59</f>
        <v>1000</v>
      </c>
      <c r="C68" s="312" t="s">
        <v>104</v>
      </c>
      <c r="D68" s="315">
        <v>366.23</v>
      </c>
      <c r="E68" s="181">
        <v>1</v>
      </c>
      <c r="F68" s="182">
        <v>53005525</v>
      </c>
      <c r="G68" s="273">
        <f>IF(ISBLANK(F68),"-",(F68/$D$50*$D$47*$B$68)*($B$57/$D$68))</f>
        <v>202.64801039323083</v>
      </c>
      <c r="H68" s="185">
        <f t="shared" si="0"/>
        <v>1.0132400519661542</v>
      </c>
    </row>
    <row r="69" spans="1:8" ht="27" customHeight="1" x14ac:dyDescent="0.4">
      <c r="A69" s="171" t="s">
        <v>105</v>
      </c>
      <c r="B69" s="193">
        <f>(D47*B68)/B56*B57</f>
        <v>361.22949999999997</v>
      </c>
      <c r="C69" s="313"/>
      <c r="D69" s="316"/>
      <c r="E69" s="184">
        <v>2</v>
      </c>
      <c r="F69" s="137">
        <v>55079977</v>
      </c>
      <c r="G69" s="274">
        <f>IF(ISBLANK(F69),"-",(F69/$D$50*$D$47*$B$68)*($B$57/$D$68))</f>
        <v>210.57894911058639</v>
      </c>
      <c r="H69" s="185">
        <f t="shared" si="0"/>
        <v>1.0528947455529321</v>
      </c>
    </row>
    <row r="70" spans="1:8" ht="26.25" customHeight="1" x14ac:dyDescent="0.4">
      <c r="A70" s="325" t="s">
        <v>78</v>
      </c>
      <c r="B70" s="326"/>
      <c r="C70" s="313"/>
      <c r="D70" s="316"/>
      <c r="E70" s="184">
        <v>3</v>
      </c>
      <c r="F70" s="137">
        <v>54452311</v>
      </c>
      <c r="G70" s="274">
        <f>IF(ISBLANK(F70),"-",(F70/$D$50*$D$47*$B$68)*($B$57/$D$68))</f>
        <v>208.17928858290597</v>
      </c>
      <c r="H70" s="185">
        <f>IF(ISBLANK(F70),"-",G70/$B$56)</f>
        <v>1.0408964429145298</v>
      </c>
    </row>
    <row r="71" spans="1:8" ht="27" customHeight="1" x14ac:dyDescent="0.4">
      <c r="A71" s="327"/>
      <c r="B71" s="328"/>
      <c r="C71" s="324"/>
      <c r="D71" s="317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71</v>
      </c>
      <c r="H72" s="198">
        <f>AVERAGE(H60:H71)</f>
        <v>1.0434537951979304</v>
      </c>
    </row>
    <row r="73" spans="1:8" ht="26.25" customHeight="1" x14ac:dyDescent="0.4">
      <c r="C73" s="195"/>
      <c r="D73" s="195"/>
      <c r="E73" s="195"/>
      <c r="F73" s="196"/>
      <c r="G73" s="199" t="s">
        <v>84</v>
      </c>
      <c r="H73" s="276">
        <f>STDEV(H60:H71)/H72</f>
        <v>1.5579578075102718E-2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20</v>
      </c>
      <c r="H74" s="202">
        <f>COUNT(H60:H71)</f>
        <v>6</v>
      </c>
    </row>
    <row r="76" spans="1:8" ht="26.25" customHeight="1" x14ac:dyDescent="0.4">
      <c r="A76" s="108" t="s">
        <v>106</v>
      </c>
      <c r="B76" s="203" t="s">
        <v>107</v>
      </c>
      <c r="C76" s="320" t="str">
        <f>B20</f>
        <v>Nevirapine USP</v>
      </c>
      <c r="D76" s="320"/>
      <c r="E76" s="204" t="s">
        <v>108</v>
      </c>
      <c r="F76" s="204"/>
      <c r="G76" s="205">
        <f>H72</f>
        <v>1.0434537951979304</v>
      </c>
      <c r="H76" s="206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6" t="str">
        <f>B26</f>
        <v>Nevirapine USP</v>
      </c>
      <c r="C79" s="306"/>
    </row>
    <row r="80" spans="1:8" ht="26.25" customHeight="1" x14ac:dyDescent="0.4">
      <c r="A80" s="109" t="s">
        <v>48</v>
      </c>
      <c r="B80" s="296" t="s">
        <v>125</v>
      </c>
      <c r="C80" s="296"/>
    </row>
    <row r="81" spans="1:12" ht="27" customHeight="1" x14ac:dyDescent="0.4">
      <c r="A81" s="109" t="s">
        <v>6</v>
      </c>
      <c r="B81" s="207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297" t="s">
        <v>50</v>
      </c>
      <c r="D82" s="298"/>
      <c r="E82" s="298"/>
      <c r="F82" s="298"/>
      <c r="G82" s="29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0" t="s">
        <v>111</v>
      </c>
      <c r="D84" s="301"/>
      <c r="E84" s="301"/>
      <c r="F84" s="301"/>
      <c r="G84" s="301"/>
      <c r="H84" s="30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0" t="s">
        <v>112</v>
      </c>
      <c r="D85" s="301"/>
      <c r="E85" s="301"/>
      <c r="F85" s="301"/>
      <c r="G85" s="301"/>
      <c r="H85" s="30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8" t="s">
        <v>59</v>
      </c>
      <c r="E89" s="209"/>
      <c r="F89" s="303" t="s">
        <v>60</v>
      </c>
      <c r="G89" s="305"/>
    </row>
    <row r="90" spans="1:12" ht="27" customHeight="1" x14ac:dyDescent="0.4">
      <c r="A90" s="124" t="s">
        <v>61</v>
      </c>
      <c r="B90" s="125">
        <v>5</v>
      </c>
      <c r="C90" s="210" t="s">
        <v>62</v>
      </c>
      <c r="D90" s="127" t="s">
        <v>63</v>
      </c>
      <c r="E90" s="128" t="s">
        <v>64</v>
      </c>
      <c r="F90" s="127" t="s">
        <v>63</v>
      </c>
      <c r="G90" s="211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2">
        <v>1</v>
      </c>
      <c r="D91" s="132">
        <v>24973644</v>
      </c>
      <c r="E91" s="133">
        <f>IF(ISBLANK(D91),"-",$D$101/$D$98*D91)</f>
        <v>29848740.243055444</v>
      </c>
      <c r="F91" s="132">
        <v>23442665</v>
      </c>
      <c r="G91" s="134">
        <f>IF(ISBLANK(F91),"-",$D$101/$F$98*F91)</f>
        <v>29879341.459743246</v>
      </c>
      <c r="I91" s="135"/>
    </row>
    <row r="92" spans="1:12" ht="26.25" customHeight="1" x14ac:dyDescent="0.4">
      <c r="A92" s="124" t="s">
        <v>67</v>
      </c>
      <c r="B92" s="125">
        <v>1</v>
      </c>
      <c r="C92" s="196">
        <v>2</v>
      </c>
      <c r="D92" s="137">
        <v>24955976</v>
      </c>
      <c r="E92" s="138">
        <f>IF(ISBLANK(D92),"-",$D$101/$D$98*D92)</f>
        <v>29827623.279002689</v>
      </c>
      <c r="F92" s="137">
        <v>23291465</v>
      </c>
      <c r="G92" s="139">
        <f>IF(ISBLANK(F92),"-",$D$101/$F$98*F92)</f>
        <v>29686626.321395572</v>
      </c>
      <c r="I92" s="307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6">
        <v>3</v>
      </c>
      <c r="D93" s="137">
        <v>24939994</v>
      </c>
      <c r="E93" s="138">
        <f>IF(ISBLANK(D93),"-",$D$101/$D$98*D93)</f>
        <v>29808521.438415688</v>
      </c>
      <c r="F93" s="137"/>
      <c r="G93" s="139" t="str">
        <f>IF(ISBLANK(F93),"-",$D$101/$F$98*F93)</f>
        <v>-</v>
      </c>
      <c r="I93" s="307"/>
    </row>
    <row r="94" spans="1:12" ht="27" customHeight="1" x14ac:dyDescent="0.4">
      <c r="A94" s="124" t="s">
        <v>69</v>
      </c>
      <c r="B94" s="125">
        <v>1</v>
      </c>
      <c r="C94" s="213">
        <v>4</v>
      </c>
      <c r="D94" s="142"/>
      <c r="E94" s="143" t="str">
        <f>IF(ISBLANK(D94),"-",$D$101/$D$98*D94)</f>
        <v>-</v>
      </c>
      <c r="F94" s="214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142"/>
      <c r="E95" s="148">
        <f>AVERAGE(E91:E94)</f>
        <v>29828294.986824606</v>
      </c>
      <c r="F95" s="216">
        <f>AVERAGE(F91:F94)</f>
        <v>23367065</v>
      </c>
      <c r="G95" s="217">
        <f>AVERAGE(G91:G94)</f>
        <v>29782983.890569411</v>
      </c>
    </row>
    <row r="96" spans="1:12" ht="26.25" customHeight="1" x14ac:dyDescent="0.4">
      <c r="A96" s="124" t="s">
        <v>72</v>
      </c>
      <c r="B96" s="110">
        <v>1</v>
      </c>
      <c r="C96" s="218" t="s">
        <v>113</v>
      </c>
      <c r="D96" s="219">
        <v>18.63</v>
      </c>
      <c r="E96" s="140"/>
      <c r="F96" s="152">
        <v>17.47</v>
      </c>
    </row>
    <row r="97" spans="1:10" ht="26.25" customHeight="1" x14ac:dyDescent="0.4">
      <c r="A97" s="124" t="s">
        <v>74</v>
      </c>
      <c r="B97" s="110">
        <v>1</v>
      </c>
      <c r="C97" s="220" t="s">
        <v>114</v>
      </c>
      <c r="D97" s="221">
        <f>D96*$B$87</f>
        <v>18.63</v>
      </c>
      <c r="E97" s="155"/>
      <c r="F97" s="154">
        <f>F96*$B$87</f>
        <v>17.47</v>
      </c>
    </row>
    <row r="98" spans="1:10" ht="19.5" customHeight="1" x14ac:dyDescent="0.3">
      <c r="A98" s="124" t="s">
        <v>76</v>
      </c>
      <c r="B98" s="222">
        <f>(B97/B96)*(B95/B94)*(B93/B92)*(B91/B90)*B89</f>
        <v>100</v>
      </c>
      <c r="C98" s="220" t="s">
        <v>115</v>
      </c>
      <c r="D98" s="223">
        <f>D97*$B$83/100</f>
        <v>18.592739999999999</v>
      </c>
      <c r="E98" s="158"/>
      <c r="F98" s="157">
        <f>F97*$B$83/100</f>
        <v>17.43506</v>
      </c>
    </row>
    <row r="99" spans="1:10" ht="19.5" customHeight="1" x14ac:dyDescent="0.3">
      <c r="A99" s="308" t="s">
        <v>78</v>
      </c>
      <c r="B99" s="322"/>
      <c r="C99" s="220" t="s">
        <v>116</v>
      </c>
      <c r="D99" s="224">
        <f>D98/$B$98</f>
        <v>0.18592739999999999</v>
      </c>
      <c r="E99" s="158"/>
      <c r="F99" s="161">
        <f>F98/$B$98</f>
        <v>0.17435059999999999</v>
      </c>
      <c r="G99" s="225"/>
      <c r="H99" s="150"/>
    </row>
    <row r="100" spans="1:10" ht="19.5" customHeight="1" x14ac:dyDescent="0.3">
      <c r="A100" s="310"/>
      <c r="B100" s="323"/>
      <c r="C100" s="220" t="s">
        <v>80</v>
      </c>
      <c r="D100" s="226">
        <f>$B$56/$B$116</f>
        <v>0.22222222222222221</v>
      </c>
      <c r="F100" s="166"/>
      <c r="G100" s="227"/>
      <c r="H100" s="150"/>
    </row>
    <row r="101" spans="1:10" ht="18.75" x14ac:dyDescent="0.3">
      <c r="C101" s="220" t="s">
        <v>81</v>
      </c>
      <c r="D101" s="221">
        <f>D100*$B$98</f>
        <v>22.222222222222221</v>
      </c>
      <c r="F101" s="166"/>
      <c r="G101" s="225"/>
      <c r="H101" s="150"/>
    </row>
    <row r="102" spans="1:10" ht="19.5" customHeight="1" x14ac:dyDescent="0.3">
      <c r="C102" s="228" t="s">
        <v>82</v>
      </c>
      <c r="D102" s="229">
        <f>D101/B34</f>
        <v>22.222222222222221</v>
      </c>
      <c r="F102" s="170"/>
      <c r="G102" s="225"/>
      <c r="H102" s="150"/>
      <c r="J102" s="230"/>
    </row>
    <row r="103" spans="1:10" ht="18.75" x14ac:dyDescent="0.3">
      <c r="C103" s="231" t="s">
        <v>117</v>
      </c>
      <c r="D103" s="232">
        <f>AVERAGE(E91:E94,G91:G94)</f>
        <v>29810170.548322529</v>
      </c>
      <c r="F103" s="170"/>
      <c r="G103" s="233"/>
      <c r="H103" s="150"/>
      <c r="J103" s="234"/>
    </row>
    <row r="104" spans="1:10" ht="18.75" x14ac:dyDescent="0.3">
      <c r="C104" s="199" t="s">
        <v>84</v>
      </c>
      <c r="D104" s="235">
        <f>STDEV(E91:E94,G91:G94)/D103</f>
        <v>2.4788999547490516E-3</v>
      </c>
      <c r="F104" s="170"/>
      <c r="G104" s="225"/>
      <c r="H104" s="150"/>
      <c r="J104" s="234"/>
    </row>
    <row r="105" spans="1:10" ht="19.5" customHeight="1" x14ac:dyDescent="0.3">
      <c r="C105" s="201" t="s">
        <v>20</v>
      </c>
      <c r="D105" s="236">
        <f>COUNT(E91:E94,G91:G94)</f>
        <v>5</v>
      </c>
      <c r="F105" s="170"/>
      <c r="G105" s="225"/>
      <c r="H105" s="150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118</v>
      </c>
      <c r="B107" s="123">
        <v>900</v>
      </c>
      <c r="C107" s="237" t="s">
        <v>119</v>
      </c>
      <c r="D107" s="238" t="s">
        <v>63</v>
      </c>
      <c r="E107" s="239" t="s">
        <v>120</v>
      </c>
      <c r="F107" s="240" t="s">
        <v>121</v>
      </c>
    </row>
    <row r="108" spans="1:10" ht="26.25" customHeight="1" x14ac:dyDescent="0.4">
      <c r="A108" s="124" t="s">
        <v>122</v>
      </c>
      <c r="B108" s="125">
        <v>1</v>
      </c>
      <c r="C108" s="241">
        <v>1</v>
      </c>
      <c r="D108" s="242">
        <v>26766417</v>
      </c>
      <c r="E108" s="277">
        <f t="shared" ref="E108:E113" si="1">IF(ISBLANK(D108),"-",D108/$D$103*$D$100*$B$116)</f>
        <v>179.57909336084757</v>
      </c>
      <c r="F108" s="243">
        <f t="shared" ref="F108:F113" si="2">IF(ISBLANK(D108), "-", E108/$B$56)</f>
        <v>0.89789546680423782</v>
      </c>
    </row>
    <row r="109" spans="1:10" ht="26.25" customHeight="1" x14ac:dyDescent="0.4">
      <c r="A109" s="124" t="s">
        <v>95</v>
      </c>
      <c r="B109" s="125">
        <v>1</v>
      </c>
      <c r="C109" s="241">
        <v>2</v>
      </c>
      <c r="D109" s="242">
        <v>26625074</v>
      </c>
      <c r="E109" s="278">
        <f t="shared" si="1"/>
        <v>178.63080626687818</v>
      </c>
      <c r="F109" s="244">
        <f t="shared" si="2"/>
        <v>0.89315403133439086</v>
      </c>
    </row>
    <row r="110" spans="1:10" ht="26.25" customHeight="1" x14ac:dyDescent="0.4">
      <c r="A110" s="124" t="s">
        <v>96</v>
      </c>
      <c r="B110" s="125">
        <v>1</v>
      </c>
      <c r="C110" s="241">
        <v>3</v>
      </c>
      <c r="D110" s="242">
        <v>26554745</v>
      </c>
      <c r="E110" s="278">
        <f t="shared" si="1"/>
        <v>178.1589605933622</v>
      </c>
      <c r="F110" s="244">
        <f t="shared" si="2"/>
        <v>0.89079480296681102</v>
      </c>
    </row>
    <row r="111" spans="1:10" ht="26.25" customHeight="1" x14ac:dyDescent="0.4">
      <c r="A111" s="124" t="s">
        <v>97</v>
      </c>
      <c r="B111" s="125">
        <v>1</v>
      </c>
      <c r="C111" s="241">
        <v>4</v>
      </c>
      <c r="D111" s="242">
        <v>26336160</v>
      </c>
      <c r="E111" s="278">
        <f t="shared" si="1"/>
        <v>176.69244768196728</v>
      </c>
      <c r="F111" s="244">
        <f t="shared" si="2"/>
        <v>0.8834622384098364</v>
      </c>
    </row>
    <row r="112" spans="1:10" ht="26.25" customHeight="1" x14ac:dyDescent="0.4">
      <c r="A112" s="124" t="s">
        <v>98</v>
      </c>
      <c r="B112" s="125">
        <v>1</v>
      </c>
      <c r="C112" s="241">
        <v>5</v>
      </c>
      <c r="D112" s="242">
        <v>26521160</v>
      </c>
      <c r="E112" s="278">
        <f t="shared" si="1"/>
        <v>177.93363481103862</v>
      </c>
      <c r="F112" s="244">
        <f t="shared" si="2"/>
        <v>0.88966817405519305</v>
      </c>
    </row>
    <row r="113" spans="1:10" ht="26.25" customHeight="1" x14ac:dyDescent="0.4">
      <c r="A113" s="124" t="s">
        <v>100</v>
      </c>
      <c r="B113" s="125">
        <v>1</v>
      </c>
      <c r="C113" s="245">
        <v>6</v>
      </c>
      <c r="D113" s="246">
        <v>26322785</v>
      </c>
      <c r="E113" s="279">
        <f t="shared" si="1"/>
        <v>176.60271320709521</v>
      </c>
      <c r="F113" s="247">
        <f>IF(ISBLANK(D113), "-", E113/$B$56)</f>
        <v>0.88301356603547598</v>
      </c>
    </row>
    <row r="114" spans="1:10" ht="26.25" customHeight="1" x14ac:dyDescent="0.4">
      <c r="A114" s="124" t="s">
        <v>101</v>
      </c>
      <c r="B114" s="125">
        <v>1</v>
      </c>
      <c r="C114" s="241"/>
      <c r="D114" s="196"/>
      <c r="E114" s="98"/>
      <c r="F114" s="248"/>
    </row>
    <row r="115" spans="1:10" ht="26.25" customHeight="1" x14ac:dyDescent="0.4">
      <c r="A115" s="124" t="s">
        <v>102</v>
      </c>
      <c r="B115" s="125">
        <v>1</v>
      </c>
      <c r="C115" s="241"/>
      <c r="D115" s="249"/>
      <c r="E115" s="250" t="s">
        <v>71</v>
      </c>
      <c r="F115" s="251">
        <f>AVERAGE(F108:F113)</f>
        <v>0.88966471326765761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2"/>
      <c r="D116" s="253"/>
      <c r="E116" s="215" t="s">
        <v>84</v>
      </c>
      <c r="F116" s="254">
        <f>STDEV(F108:F113)/F115</f>
        <v>6.4355599500795311E-3</v>
      </c>
      <c r="I116" s="98"/>
    </row>
    <row r="117" spans="1:10" ht="27" customHeight="1" x14ac:dyDescent="0.4">
      <c r="A117" s="308" t="s">
        <v>78</v>
      </c>
      <c r="B117" s="309"/>
      <c r="C117" s="255"/>
      <c r="D117" s="256"/>
      <c r="E117" s="257" t="s">
        <v>20</v>
      </c>
      <c r="F117" s="258">
        <f>COUNT(F108:F113)</f>
        <v>6</v>
      </c>
      <c r="I117" s="98"/>
      <c r="J117" s="234"/>
    </row>
    <row r="118" spans="1:10" ht="19.5" customHeight="1" x14ac:dyDescent="0.3">
      <c r="A118" s="310"/>
      <c r="B118" s="311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7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106</v>
      </c>
      <c r="B120" s="203" t="s">
        <v>123</v>
      </c>
      <c r="C120" s="320" t="str">
        <f>B20</f>
        <v>Nevirapine USP</v>
      </c>
      <c r="D120" s="320"/>
      <c r="E120" s="204" t="s">
        <v>124</v>
      </c>
      <c r="F120" s="204"/>
      <c r="G120" s="205">
        <f>F115</f>
        <v>0.88966471326765761</v>
      </c>
      <c r="H120" s="98"/>
      <c r="I120" s="98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21" t="s">
        <v>26</v>
      </c>
      <c r="C122" s="321"/>
      <c r="E122" s="210" t="s">
        <v>27</v>
      </c>
      <c r="F122" s="261"/>
      <c r="G122" s="321" t="s">
        <v>28</v>
      </c>
      <c r="H122" s="321"/>
    </row>
    <row r="123" spans="1:10" ht="69.95" customHeight="1" x14ac:dyDescent="0.3">
      <c r="A123" s="262" t="s">
        <v>29</v>
      </c>
      <c r="B123" s="263"/>
      <c r="C123" s="263"/>
      <c r="E123" s="263"/>
      <c r="F123" s="98"/>
      <c r="G123" s="264"/>
      <c r="H123" s="264"/>
    </row>
    <row r="124" spans="1:10" ht="69.95" customHeight="1" x14ac:dyDescent="0.3">
      <c r="A124" s="262" t="s">
        <v>30</v>
      </c>
      <c r="B124" s="265"/>
      <c r="C124" s="265"/>
      <c r="E124" s="265"/>
      <c r="F124" s="98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Lab</cp:lastModifiedBy>
  <dcterms:created xsi:type="dcterms:W3CDTF">2005-07-05T10:19:27Z</dcterms:created>
  <dcterms:modified xsi:type="dcterms:W3CDTF">2015-07-03T16:21:14Z</dcterms:modified>
  <cp:category/>
</cp:coreProperties>
</file>