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25" windowWidth="20775" windowHeight="11445" activeTab="4"/>
  </bookViews>
  <sheets>
    <sheet name="Uniformity" sheetId="6" r:id="rId1"/>
    <sheet name="SST ABACAVIR" sheetId="1" r:id="rId2"/>
    <sheet name="SST LAMIVUDINE)" sheetId="7" r:id="rId3"/>
    <sheet name="Abacavir  1" sheetId="4" r:id="rId4"/>
    <sheet name="Lamivudine 1" sheetId="5" r:id="rId5"/>
  </sheets>
  <definedNames>
    <definedName name="_xlnm.Print_Area" localSheetId="3">'Abacavir  1'!$A$1:$H$142</definedName>
    <definedName name="_xlnm.Print_Area" localSheetId="4">'Lamivudine 1'!$A$1:$H$142</definedName>
    <definedName name="_xlnm.Print_Area" localSheetId="0">Uniformity!$A$1:$F$54</definedName>
  </definedNames>
  <calcPr calcId="145621"/>
</workbook>
</file>

<file path=xl/calcChain.xml><?xml version="1.0" encoding="utf-8"?>
<calcChain xmlns="http://schemas.openxmlformats.org/spreadsheetml/2006/main">
  <c r="B42" i="7" l="1"/>
  <c r="B21" i="7"/>
  <c r="B42" i="1"/>
  <c r="B21" i="1"/>
  <c r="D47" i="5"/>
  <c r="B53" i="7"/>
  <c r="E51" i="7"/>
  <c r="D51" i="7"/>
  <c r="C51" i="7"/>
  <c r="B51" i="7"/>
  <c r="B52" i="7" s="1"/>
  <c r="B32" i="7"/>
  <c r="E30" i="7"/>
  <c r="D30" i="7"/>
  <c r="C30" i="7"/>
  <c r="B30" i="7"/>
  <c r="B31" i="7" s="1"/>
  <c r="C46" i="6"/>
  <c r="C50" i="6" s="1"/>
  <c r="C45" i="6"/>
  <c r="C19" i="6"/>
  <c r="C138" i="5"/>
  <c r="B134" i="5"/>
  <c r="C121" i="5"/>
  <c r="B117" i="5"/>
  <c r="D101" i="5" s="1"/>
  <c r="B99" i="5"/>
  <c r="F96" i="5"/>
  <c r="D96" i="5"/>
  <c r="G95" i="5"/>
  <c r="E95" i="5"/>
  <c r="B88" i="5"/>
  <c r="D98" i="5" s="1"/>
  <c r="B83" i="5"/>
  <c r="B82" i="5"/>
  <c r="B84" i="5" s="1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F42" i="5"/>
  <c r="D42" i="5"/>
  <c r="G41" i="5"/>
  <c r="E41" i="5"/>
  <c r="B34" i="5"/>
  <c r="D44" i="5" s="1"/>
  <c r="B30" i="5"/>
  <c r="C138" i="4"/>
  <c r="B134" i="4"/>
  <c r="C121" i="4"/>
  <c r="B117" i="4"/>
  <c r="D101" i="4" s="1"/>
  <c r="B99" i="4"/>
  <c r="F96" i="4"/>
  <c r="D96" i="4"/>
  <c r="G95" i="4"/>
  <c r="E95" i="4"/>
  <c r="B88" i="4"/>
  <c r="D98" i="4" s="1"/>
  <c r="B83" i="4"/>
  <c r="B82" i="4"/>
  <c r="B84" i="4" s="1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B53" i="1"/>
  <c r="E51" i="1"/>
  <c r="D51" i="1"/>
  <c r="C51" i="1"/>
  <c r="B51" i="1"/>
  <c r="B52" i="1" s="1"/>
  <c r="B32" i="1"/>
  <c r="E30" i="1"/>
  <c r="D30" i="1"/>
  <c r="C30" i="1"/>
  <c r="B30" i="1"/>
  <c r="B31" i="1" s="1"/>
  <c r="D45" i="5" l="1"/>
  <c r="E39" i="5" s="1"/>
  <c r="D99" i="5"/>
  <c r="D45" i="4"/>
  <c r="D46" i="4" s="1"/>
  <c r="D99" i="4"/>
  <c r="D102" i="5"/>
  <c r="E92" i="5" s="1"/>
  <c r="D100" i="5"/>
  <c r="D100" i="4"/>
  <c r="D102" i="4"/>
  <c r="E93" i="4" s="1"/>
  <c r="D24" i="6"/>
  <c r="D34" i="6"/>
  <c r="D29" i="6"/>
  <c r="D40" i="6"/>
  <c r="D25" i="6"/>
  <c r="D30" i="6"/>
  <c r="D36" i="6"/>
  <c r="D41" i="6"/>
  <c r="B49" i="6"/>
  <c r="B57" i="5"/>
  <c r="B69" i="5" s="1"/>
  <c r="D26" i="6"/>
  <c r="D32" i="6"/>
  <c r="D37" i="6"/>
  <c r="D42" i="6"/>
  <c r="D49" i="6"/>
  <c r="D28" i="6"/>
  <c r="D33" i="6"/>
  <c r="D38" i="6"/>
  <c r="D50" i="6"/>
  <c r="B57" i="4"/>
  <c r="B69" i="4" s="1"/>
  <c r="D27" i="6"/>
  <c r="D31" i="6"/>
  <c r="D35" i="6"/>
  <c r="D39" i="6"/>
  <c r="D43" i="6"/>
  <c r="C49" i="6"/>
  <c r="E94" i="4"/>
  <c r="D49" i="4"/>
  <c r="E40" i="4"/>
  <c r="E38" i="4"/>
  <c r="E39" i="4"/>
  <c r="E94" i="5"/>
  <c r="D49" i="5"/>
  <c r="G39" i="5"/>
  <c r="G40" i="5"/>
  <c r="F44" i="4"/>
  <c r="F45" i="4" s="1"/>
  <c r="F46" i="4" s="1"/>
  <c r="F98" i="4"/>
  <c r="F99" i="4" s="1"/>
  <c r="F100" i="4" s="1"/>
  <c r="F44" i="5"/>
  <c r="F45" i="5" s="1"/>
  <c r="F46" i="5" s="1"/>
  <c r="F98" i="5"/>
  <c r="F99" i="5" s="1"/>
  <c r="F100" i="5" s="1"/>
  <c r="E38" i="5" l="1"/>
  <c r="E40" i="5"/>
  <c r="D46" i="5"/>
  <c r="D103" i="5"/>
  <c r="E93" i="5"/>
  <c r="E96" i="5" s="1"/>
  <c r="E92" i="4"/>
  <c r="E96" i="4" s="1"/>
  <c r="D103" i="4"/>
  <c r="G39" i="4"/>
  <c r="G92" i="5"/>
  <c r="G93" i="5"/>
  <c r="G40" i="4"/>
  <c r="G38" i="5"/>
  <c r="G42" i="5" s="1"/>
  <c r="E42" i="5"/>
  <c r="G94" i="5"/>
  <c r="G92" i="4"/>
  <c r="G93" i="4"/>
  <c r="G94" i="4"/>
  <c r="G38" i="4"/>
  <c r="E42" i="4"/>
  <c r="D104" i="5" l="1"/>
  <c r="E130" i="5" s="1"/>
  <c r="F130" i="5" s="1"/>
  <c r="D106" i="5"/>
  <c r="D50" i="5"/>
  <c r="G69" i="5" s="1"/>
  <c r="H69" i="5" s="1"/>
  <c r="D52" i="5"/>
  <c r="D106" i="4"/>
  <c r="D104" i="4"/>
  <c r="E128" i="4" s="1"/>
  <c r="F128" i="4" s="1"/>
  <c r="G42" i="4"/>
  <c r="D50" i="4"/>
  <c r="G96" i="5"/>
  <c r="D52" i="4"/>
  <c r="G96" i="4"/>
  <c r="E131" i="5" l="1"/>
  <c r="F131" i="5" s="1"/>
  <c r="E110" i="5"/>
  <c r="F110" i="5" s="1"/>
  <c r="E113" i="5"/>
  <c r="F113" i="5" s="1"/>
  <c r="E114" i="5"/>
  <c r="F114" i="5" s="1"/>
  <c r="E127" i="5"/>
  <c r="F127" i="5" s="1"/>
  <c r="E126" i="5"/>
  <c r="F126" i="5" s="1"/>
  <c r="E111" i="5"/>
  <c r="F111" i="5" s="1"/>
  <c r="D105" i="5"/>
  <c r="E128" i="5"/>
  <c r="F128" i="5" s="1"/>
  <c r="E109" i="5"/>
  <c r="F109" i="5" s="1"/>
  <c r="E129" i="5"/>
  <c r="F129" i="5" s="1"/>
  <c r="E112" i="5"/>
  <c r="F112" i="5" s="1"/>
  <c r="D51" i="5"/>
  <c r="G62" i="5"/>
  <c r="H62" i="5" s="1"/>
  <c r="G68" i="5"/>
  <c r="H68" i="5" s="1"/>
  <c r="G65" i="5"/>
  <c r="H65" i="5" s="1"/>
  <c r="G64" i="5"/>
  <c r="H64" i="5" s="1"/>
  <c r="G70" i="5"/>
  <c r="H70" i="5" s="1"/>
  <c r="G66" i="5"/>
  <c r="H66" i="5" s="1"/>
  <c r="G61" i="5"/>
  <c r="H61" i="5" s="1"/>
  <c r="G60" i="5"/>
  <c r="H60" i="5" s="1"/>
  <c r="D105" i="4"/>
  <c r="E111" i="4"/>
  <c r="F111" i="4" s="1"/>
  <c r="E130" i="4"/>
  <c r="F130" i="4" s="1"/>
  <c r="E112" i="4"/>
  <c r="F112" i="4" s="1"/>
  <c r="E129" i="4"/>
  <c r="F129" i="4" s="1"/>
  <c r="E113" i="4"/>
  <c r="F113" i="4" s="1"/>
  <c r="E114" i="4"/>
  <c r="F114" i="4" s="1"/>
  <c r="E109" i="4"/>
  <c r="F109" i="4" s="1"/>
  <c r="E131" i="4"/>
  <c r="F131" i="4" s="1"/>
  <c r="E126" i="4"/>
  <c r="F126" i="4" s="1"/>
  <c r="E127" i="4"/>
  <c r="F127" i="4" s="1"/>
  <c r="E110" i="4"/>
  <c r="F110" i="4" s="1"/>
  <c r="G68" i="4"/>
  <c r="H68" i="4" s="1"/>
  <c r="G69" i="4"/>
  <c r="H69" i="4" s="1"/>
  <c r="G66" i="4"/>
  <c r="H66" i="4" s="1"/>
  <c r="G64" i="4"/>
  <c r="H64" i="4" s="1"/>
  <c r="G62" i="4"/>
  <c r="H62" i="4" s="1"/>
  <c r="G60" i="4"/>
  <c r="H60" i="4" s="1"/>
  <c r="D51" i="4"/>
  <c r="G70" i="4"/>
  <c r="H70" i="4" s="1"/>
  <c r="G65" i="4"/>
  <c r="H65" i="4" s="1"/>
  <c r="G61" i="4"/>
  <c r="H61" i="4" s="1"/>
  <c r="F135" i="5" l="1"/>
  <c r="F118" i="5"/>
  <c r="F133" i="5"/>
  <c r="G138" i="5" s="1"/>
  <c r="F116" i="5"/>
  <c r="G121" i="5" s="1"/>
  <c r="H74" i="5"/>
  <c r="H72" i="5"/>
  <c r="G76" i="5" s="1"/>
  <c r="F118" i="4"/>
  <c r="F116" i="4"/>
  <c r="G121" i="4" s="1"/>
  <c r="F133" i="4"/>
  <c r="F134" i="4" s="1"/>
  <c r="F135" i="4"/>
  <c r="H74" i="4"/>
  <c r="H72" i="4"/>
  <c r="F117" i="5" l="1"/>
  <c r="F134" i="5"/>
  <c r="H73" i="5"/>
  <c r="F117" i="4"/>
  <c r="G138" i="4"/>
  <c r="H73" i="4"/>
  <c r="G76" i="4"/>
</calcChain>
</file>

<file path=xl/sharedStrings.xml><?xml version="1.0" encoding="utf-8"?>
<sst xmlns="http://schemas.openxmlformats.org/spreadsheetml/2006/main" count="491" uniqueCount="134">
  <si>
    <t>HPLC System Suitability Report</t>
  </si>
  <si>
    <t>Analysis Data</t>
  </si>
  <si>
    <t>Assay</t>
  </si>
  <si>
    <t>Sample(s)</t>
  </si>
  <si>
    <t>Reference Substance:</t>
  </si>
  <si>
    <t>ABACAVIR SULFATE &amp; LAMIVUDINE TABLETS</t>
  </si>
  <si>
    <t>% age Purity:</t>
  </si>
  <si>
    <t>NDQD201504201</t>
  </si>
  <si>
    <t>Weight (mg):</t>
  </si>
  <si>
    <t>Standard Conc (mg/mL):</t>
  </si>
  <si>
    <t>2015-04-22 14:04:47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</si>
  <si>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</si>
  <si>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</si>
  <si>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</si>
  <si>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</si>
  <si>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</si>
  <si>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</si>
  <si>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</si>
  <si>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</si>
  <si>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</si>
  <si>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</si>
  <si>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</si>
  <si>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</si>
  <si>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</si>
  <si>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</si>
  <si>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</si>
  <si>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</si>
  <si>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</si>
  <si>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</si>
  <si>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</si>
  <si>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</si>
  <si>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</si>
  <si>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</si>
  <si>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</si>
  <si>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</si>
  <si>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</si>
  <si>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</si>
  <si>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</si>
  <si>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</si>
  <si>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</si>
  <si>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</si>
  <si>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</si>
  <si>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</si>
  <si>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</si>
  <si>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</si>
  <si>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</si>
  <si>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</si>
  <si>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</si>
  <si>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</si>
  <si>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</si>
  <si>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</si>
  <si>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</si>
  <si>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</si>
  <si>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</si>
  <si>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</si>
  <si>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</si>
  <si>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</si>
  <si>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</si>
  <si>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</si>
  <si>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</si>
  <si>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</si>
  <si>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</si>
  <si>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</si>
  <si>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</si>
  <si>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</si>
  <si>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</si>
  <si>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</si>
  <si>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</si>
  <si>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</si>
  <si>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</si>
  <si>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</si>
  <si>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</si>
  <si>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</si>
  <si>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</si>
  <si>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</si>
  <si>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Comment</t>
  </si>
  <si>
    <t xml:space="preserve">in the sample as a percentage of the stated  label claim is </t>
  </si>
  <si>
    <t>Average</t>
  </si>
  <si>
    <t>If correction for water content is not needed please enter 0</t>
  </si>
  <si>
    <t>Medium Volume (mL):</t>
  </si>
  <si>
    <t>tablet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</si>
  <si>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</si>
  <si>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</si>
  <si>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</si>
  <si>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</si>
  <si>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</si>
  <si>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</si>
  <si>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</si>
  <si>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</si>
  <si>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</si>
  <si>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</si>
  <si>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</si>
  <si>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 xml:space="preserve">The amount  of </t>
  </si>
  <si>
    <t xml:space="preserve">dissolved as a percentage of the stated  label claim is </t>
  </si>
  <si>
    <t>Initial    Standard dilution</t>
  </si>
  <si>
    <t>Inj</t>
  </si>
  <si>
    <t>Each tablet contains</t>
  </si>
  <si>
    <t>Average tablet Content Weight (mg):</t>
  </si>
  <si>
    <t>Initial    Sample dilution</t>
  </si>
  <si>
    <t>Powder Weight (mg)</t>
  </si>
  <si>
    <t>Determined Amt (mg)</t>
  </si>
  <si>
    <t>% Assay</t>
  </si>
  <si>
    <t>Assay Smp A</t>
  </si>
  <si>
    <t>Assay Smp B</t>
  </si>
  <si>
    <t>Assay Smp C</t>
  </si>
  <si>
    <t>Desired Sample Weight (mg):</t>
  </si>
  <si>
    <t>Analysis Data:</t>
  </si>
  <si>
    <t>Determination of Active Ingredient Dissolved after</t>
  </si>
  <si>
    <t>1hr</t>
  </si>
  <si>
    <t>Average Normalised Peak Area:</t>
  </si>
  <si>
    <t>3hrs</t>
  </si>
  <si>
    <t>Uniformity of Weight Test Report</t>
  </si>
  <si>
    <t>Sulfran DS Tablets</t>
  </si>
  <si>
    <t>NDQD201504218</t>
  </si>
  <si>
    <t>each tablets contains sulphamethoxazole 900mg Trimethoprim 160mg.</t>
  </si>
  <si>
    <t>Sulphamethoxazole 900mg Trimethoprim 160 per tablets</t>
  </si>
  <si>
    <t>2015-04-29 07:24:28</t>
  </si>
  <si>
    <t>Uniformity of weight</t>
  </si>
  <si>
    <t>Tablet weight (mg)</t>
  </si>
  <si>
    <t>% Deviation</t>
  </si>
  <si>
    <t>Total</t>
  </si>
  <si>
    <t>% Deviation from mean</t>
  </si>
  <si>
    <t>LORNA WANGARI</t>
  </si>
  <si>
    <t>ABACAVIR SULPHATE</t>
  </si>
  <si>
    <t>Abacavir sulphate</t>
  </si>
  <si>
    <t>A12 1</t>
  </si>
  <si>
    <t>LAMIVUDINE</t>
  </si>
  <si>
    <t>ABACAVIR LAMIVUDINE TABLETS</t>
  </si>
  <si>
    <t xml:space="preserve">ABACAVIR LAMIVUDINE </t>
  </si>
  <si>
    <t>each film coated tablet contains Abacavir sulphate equivvalent to abacavir 60 mg and Lamivudine USP 30 MG</t>
  </si>
  <si>
    <t>19TH AUGUST 2015</t>
  </si>
  <si>
    <t>24TH AUGUST 2015</t>
  </si>
  <si>
    <t>Lamivudine</t>
  </si>
  <si>
    <t>L1 001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</si>
</sst>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%"/>
    <numFmt numFmtId="166" formatCode="0.0000\ &quot;mg&quot;"/>
    <numFmt numFmtId="167" formatCode="0.000"/>
    <numFmt numFmtId="169" formatCode="0.0000"/>
    <numFmt numFmtId="170" formatCode="[$-409]d/mmm/yy;@"/>
  </numFmts>
  <fonts count="26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sz val="14"/>
      <color rgb="FF000000"/>
      <name val="Arial"/>
    </font>
    <font>
      <i/>
      <sz val="14"/>
      <color rgb="FF000000"/>
      <name val="Arial"/>
    </font>
    <font>
      <b/>
      <i/>
      <sz val="14"/>
      <color rgb="FF000000"/>
      <name val="Book Antiqua"/>
    </font>
    <font>
      <i/>
      <sz val="14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14"/>
      <color rgb="FF000000"/>
      <name val="Calibri"/>
    </font>
    <font>
      <b/>
      <u/>
      <sz val="20"/>
      <color rgb="FF000000"/>
      <name val="Book Antiqua"/>
    </font>
    <font>
      <b/>
      <i/>
      <sz val="1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  <font>
      <b/>
      <i/>
      <sz val="10"/>
      <color rgb="FF000000"/>
      <name val="Book Antiqua"/>
    </font>
    <font>
      <sz val="12"/>
      <color rgb="FF000000"/>
      <name val="Arial"/>
    </font>
    <font>
      <b/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2" fillId="2" borderId="0"/>
  </cellStyleXfs>
  <cellXfs count="503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4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8" fillId="2" borderId="0" xfId="0" applyFont="1" applyFill="1" applyAlignment="1">
      <alignment vertical="center" wrapText="1"/>
    </xf>
    <xf numFmtId="0" fontId="13" fillId="2" borderId="0" xfId="0" applyFont="1" applyFill="1"/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2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2" borderId="52" xfId="0" applyFont="1" applyFill="1" applyBorder="1" applyAlignment="1">
      <alignment horizontal="right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5" xfId="0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10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15" xfId="0" applyFont="1" applyFill="1" applyBorder="1" applyAlignment="1">
      <alignment horizontal="center" wrapText="1"/>
    </xf>
    <xf numFmtId="2" fontId="8" fillId="2" borderId="17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2" xfId="0" applyNumberFormat="1" applyFont="1" applyFill="1" applyBorder="1" applyAlignment="1">
      <alignment horizontal="right"/>
    </xf>
    <xf numFmtId="0" fontId="8" fillId="2" borderId="13" xfId="0" applyFont="1" applyFill="1" applyBorder="1"/>
    <xf numFmtId="0" fontId="8" fillId="2" borderId="6" xfId="0" applyFont="1" applyFill="1" applyBorder="1"/>
    <xf numFmtId="0" fontId="8" fillId="2" borderId="0" xfId="0" applyFont="1" applyFill="1" applyAlignment="1">
      <alignment horizontal="right"/>
    </xf>
    <xf numFmtId="0" fontId="8" fillId="2" borderId="36" xfId="0" applyFont="1" applyFill="1" applyBorder="1"/>
    <xf numFmtId="0" fontId="8" fillId="2" borderId="46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8" fillId="2" borderId="42" xfId="0" applyFont="1" applyFill="1" applyBorder="1" applyAlignment="1">
      <alignment horizontal="center"/>
    </xf>
    <xf numFmtId="1" fontId="9" fillId="6" borderId="43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53" xfId="0" applyNumberFormat="1" applyFont="1" applyFill="1" applyBorder="1" applyAlignment="1">
      <alignment horizontal="center" vertical="center"/>
    </xf>
    <xf numFmtId="10" fontId="8" fillId="2" borderId="34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4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1" fontId="9" fillId="6" borderId="34" xfId="0" applyNumberFormat="1" applyFont="1" applyFill="1" applyBorder="1" applyAlignment="1">
      <alignment horizontal="center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2" fontId="8" fillId="2" borderId="5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45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67" fontId="9" fillId="7" borderId="3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" fontId="9" fillId="6" borderId="55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24" xfId="0" applyFont="1" applyFill="1" applyBorder="1" applyAlignment="1" applyProtection="1">
      <alignment horizontal="center"/>
      <protection locked="0"/>
    </xf>
    <xf numFmtId="0" fontId="11" fillId="3" borderId="44" xfId="0" applyFont="1" applyFill="1" applyBorder="1" applyAlignment="1" applyProtection="1">
      <alignment horizontal="center"/>
      <protection locked="0"/>
    </xf>
    <xf numFmtId="0" fontId="11" fillId="3" borderId="31" xfId="0" applyFont="1" applyFill="1" applyBorder="1" applyAlignment="1" applyProtection="1">
      <alignment horizontal="center"/>
      <protection locked="0"/>
    </xf>
    <xf numFmtId="0" fontId="11" fillId="3" borderId="40" xfId="0" applyFont="1" applyFill="1" applyBorder="1" applyAlignment="1" applyProtection="1">
      <alignment horizontal="center"/>
      <protection locked="0"/>
    </xf>
    <xf numFmtId="2" fontId="10" fillId="2" borderId="39" xfId="0" applyNumberFormat="1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6" xfId="0" applyFont="1" applyFill="1" applyBorder="1" applyAlignment="1" applyProtection="1">
      <alignment horizontal="center"/>
      <protection locked="0"/>
    </xf>
    <xf numFmtId="10" fontId="11" fillId="7" borderId="23" xfId="0" applyNumberFormat="1" applyFont="1" applyFill="1" applyBorder="1" applyAlignment="1">
      <alignment horizontal="center"/>
    </xf>
    <xf numFmtId="10" fontId="11" fillId="6" borderId="56" xfId="0" applyNumberFormat="1" applyFont="1" applyFill="1" applyBorder="1" applyAlignment="1">
      <alignment horizontal="center"/>
    </xf>
    <xf numFmtId="0" fontId="11" fillId="7" borderId="57" xfId="0" applyFont="1" applyFill="1" applyBorder="1" applyAlignment="1">
      <alignment horizontal="center"/>
    </xf>
    <xf numFmtId="167" fontId="11" fillId="3" borderId="24" xfId="0" applyNumberFormat="1" applyFont="1" applyFill="1" applyBorder="1" applyAlignment="1" applyProtection="1">
      <alignment horizontal="center"/>
      <protection locked="0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1" fontId="11" fillId="3" borderId="25" xfId="0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1" fontId="10" fillId="3" borderId="22" xfId="0" applyNumberFormat="1" applyFont="1" applyFill="1" applyBorder="1" applyAlignment="1" applyProtection="1">
      <alignment horizontal="center"/>
      <protection locked="0"/>
    </xf>
    <xf numFmtId="1" fontId="10" fillId="3" borderId="25" xfId="0" applyNumberFormat="1" applyFont="1" applyFill="1" applyBorder="1" applyAlignment="1" applyProtection="1">
      <alignment horizontal="center"/>
      <protection locked="0"/>
    </xf>
    <xf numFmtId="10" fontId="11" fillId="7" borderId="40" xfId="0" applyNumberFormat="1" applyFont="1" applyFill="1" applyBorder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0" fontId="8" fillId="2" borderId="0" xfId="0" applyFont="1" applyFill="1" applyAlignment="1">
      <alignment horizontal="left"/>
    </xf>
    <xf numFmtId="15" fontId="8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8" fillId="2" borderId="0" xfId="0" applyFont="1" applyFill="1" applyAlignment="1">
      <alignment vertical="center" wrapText="1"/>
    </xf>
    <xf numFmtId="0" fontId="13" fillId="2" borderId="0" xfId="0" applyFont="1" applyFill="1"/>
    <xf numFmtId="0" fontId="15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2" fillId="2" borderId="0" xfId="0" applyFont="1" applyFill="1"/>
    <xf numFmtId="0" fontId="14" fillId="2" borderId="0" xfId="0" applyFont="1" applyFill="1" applyAlignment="1">
      <alignment horizontal="left" vertical="center" wrapText="1"/>
    </xf>
    <xf numFmtId="166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21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8" fillId="2" borderId="19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0" xfId="0" applyFont="1" applyFill="1"/>
    <xf numFmtId="0" fontId="8" fillId="2" borderId="23" xfId="0" applyFont="1" applyFill="1" applyBorder="1" applyAlignment="1">
      <alignment horizontal="center"/>
    </xf>
    <xf numFmtId="0" fontId="8" fillId="2" borderId="24" xfId="0" applyFont="1" applyFill="1" applyBorder="1" applyAlignment="1">
      <alignment horizontal="center"/>
    </xf>
    <xf numFmtId="0" fontId="8" fillId="2" borderId="21" xfId="0" applyFont="1" applyFill="1" applyBorder="1" applyAlignment="1">
      <alignment horizontal="right"/>
    </xf>
    <xf numFmtId="1" fontId="9" fillId="6" borderId="27" xfId="0" applyNumberFormat="1" applyFont="1" applyFill="1" applyBorder="1" applyAlignment="1">
      <alignment horizontal="center"/>
    </xf>
    <xf numFmtId="167" fontId="9" fillId="6" borderId="29" xfId="0" applyNumberFormat="1" applyFont="1" applyFill="1" applyBorder="1" applyAlignment="1">
      <alignment horizontal="center"/>
    </xf>
    <xf numFmtId="2" fontId="8" fillId="6" borderId="3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3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33" xfId="0" applyNumberFormat="1" applyFont="1" applyFill="1" applyBorder="1" applyAlignment="1">
      <alignment horizontal="center"/>
    </xf>
    <xf numFmtId="0" fontId="8" fillId="2" borderId="32" xfId="0" applyFont="1" applyFill="1" applyBorder="1" applyAlignment="1">
      <alignment horizontal="right"/>
    </xf>
    <xf numFmtId="1" fontId="8" fillId="2" borderId="0" xfId="0" applyNumberFormat="1" applyFont="1" applyFill="1" applyAlignment="1">
      <alignment horizontal="center"/>
    </xf>
    <xf numFmtId="0" fontId="8" fillId="2" borderId="33" xfId="0" applyFont="1" applyFill="1" applyBorder="1" applyAlignment="1">
      <alignment horizontal="right"/>
    </xf>
    <xf numFmtId="0" fontId="8" fillId="2" borderId="52" xfId="0" applyFont="1" applyFill="1" applyBorder="1" applyAlignment="1">
      <alignment horizontal="right"/>
    </xf>
    <xf numFmtId="167" fontId="8" fillId="2" borderId="0" xfId="0" applyNumberFormat="1" applyFont="1" applyFill="1" applyAlignment="1">
      <alignment horizontal="center"/>
    </xf>
    <xf numFmtId="10" fontId="8" fillId="6" borderId="32" xfId="0" applyNumberFormat="1" applyFont="1" applyFill="1" applyBorder="1" applyAlignment="1">
      <alignment horizontal="center"/>
    </xf>
    <xf numFmtId="0" fontId="8" fillId="7" borderId="3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35" xfId="0" applyFont="1" applyFill="1" applyBorder="1" applyAlignment="1">
      <alignment horizontal="center"/>
    </xf>
    <xf numFmtId="2" fontId="9" fillId="2" borderId="35" xfId="0" applyNumberFormat="1" applyFont="1" applyFill="1" applyBorder="1" applyAlignment="1">
      <alignment horizontal="center"/>
    </xf>
    <xf numFmtId="0" fontId="8" fillId="2" borderId="35" xfId="0" applyFont="1" applyFill="1" applyBorder="1" applyAlignment="1">
      <alignment horizontal="center"/>
    </xf>
    <xf numFmtId="0" fontId="8" fillId="2" borderId="53" xfId="0" applyFont="1" applyFill="1" applyBorder="1" applyAlignment="1">
      <alignment horizontal="center"/>
    </xf>
    <xf numFmtId="0" fontId="8" fillId="2" borderId="3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7" fontId="9" fillId="6" borderId="28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 wrapText="1"/>
    </xf>
    <xf numFmtId="10" fontId="9" fillId="6" borderId="32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0" fontId="9" fillId="7" borderId="33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7" xfId="0" applyFont="1" applyFill="1" applyBorder="1" applyAlignment="1">
      <alignment horizontal="center"/>
    </xf>
    <xf numFmtId="0" fontId="9" fillId="2" borderId="38" xfId="0" applyFont="1" applyFill="1" applyBorder="1"/>
    <xf numFmtId="0" fontId="9" fillId="2" borderId="15" xfId="0" applyFont="1" applyFill="1" applyBorder="1" applyAlignment="1">
      <alignment horizontal="center" wrapText="1"/>
    </xf>
    <xf numFmtId="2" fontId="8" fillId="2" borderId="17" xfId="0" applyNumberFormat="1" applyFont="1" applyFill="1" applyBorder="1" applyAlignment="1">
      <alignment horizontal="center"/>
    </xf>
    <xf numFmtId="10" fontId="8" fillId="2" borderId="18" xfId="0" applyNumberFormat="1" applyFont="1" applyFill="1" applyBorder="1" applyAlignment="1">
      <alignment horizontal="center"/>
    </xf>
    <xf numFmtId="2" fontId="8" fillId="2" borderId="22" xfId="0" applyNumberFormat="1" applyFont="1" applyFill="1" applyBorder="1" applyAlignment="1">
      <alignment horizontal="center"/>
    </xf>
    <xf numFmtId="2" fontId="8" fillId="2" borderId="25" xfId="0" applyNumberFormat="1" applyFont="1" applyFill="1" applyBorder="1" applyAlignment="1">
      <alignment horizontal="center"/>
    </xf>
    <xf numFmtId="2" fontId="8" fillId="2" borderId="21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center"/>
    </xf>
    <xf numFmtId="167" fontId="8" fillId="2" borderId="2" xfId="0" applyNumberFormat="1" applyFont="1" applyFill="1" applyBorder="1" applyAlignment="1">
      <alignment horizontal="right"/>
    </xf>
    <xf numFmtId="0" fontId="8" fillId="2" borderId="13" xfId="0" applyFont="1" applyFill="1" applyBorder="1"/>
    <xf numFmtId="0" fontId="8" fillId="2" borderId="6" xfId="0" applyFont="1" applyFill="1" applyBorder="1"/>
    <xf numFmtId="0" fontId="8" fillId="2" borderId="0" xfId="0" applyFont="1" applyFill="1" applyAlignment="1">
      <alignment horizontal="right"/>
    </xf>
    <xf numFmtId="0" fontId="8" fillId="2" borderId="36" xfId="0" applyFont="1" applyFill="1" applyBorder="1"/>
    <xf numFmtId="0" fontId="8" fillId="2" borderId="46" xfId="0" applyFont="1" applyFill="1" applyBorder="1" applyAlignment="1">
      <alignment horizontal="center"/>
    </xf>
    <xf numFmtId="0" fontId="8" fillId="2" borderId="47" xfId="0" applyFont="1" applyFill="1" applyBorder="1" applyAlignment="1">
      <alignment horizontal="right"/>
    </xf>
    <xf numFmtId="0" fontId="8" fillId="2" borderId="42" xfId="0" applyFont="1" applyFill="1" applyBorder="1" applyAlignment="1">
      <alignment horizontal="center"/>
    </xf>
    <xf numFmtId="1" fontId="9" fillId="6" borderId="43" xfId="0" applyNumberFormat="1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9" fillId="2" borderId="41" xfId="0" applyFont="1" applyFill="1" applyBorder="1" applyAlignment="1">
      <alignment horizontal="center"/>
    </xf>
    <xf numFmtId="0" fontId="9" fillId="2" borderId="30" xfId="0" applyFont="1" applyFill="1" applyBorder="1" applyAlignment="1">
      <alignment horizontal="center"/>
    </xf>
    <xf numFmtId="2" fontId="8" fillId="2" borderId="12" xfId="0" applyNumberFormat="1" applyFont="1" applyFill="1" applyBorder="1" applyAlignment="1">
      <alignment horizontal="center"/>
    </xf>
    <xf numFmtId="2" fontId="8" fillId="2" borderId="13" xfId="0" applyNumberFormat="1" applyFont="1" applyFill="1" applyBorder="1" applyAlignment="1">
      <alignment horizontal="center"/>
    </xf>
    <xf numFmtId="10" fontId="8" fillId="2" borderId="35" xfId="0" applyNumberFormat="1" applyFont="1" applyFill="1" applyBorder="1" applyAlignment="1">
      <alignment horizontal="center" vertical="center"/>
    </xf>
    <xf numFmtId="10" fontId="8" fillId="2" borderId="53" xfId="0" applyNumberFormat="1" applyFont="1" applyFill="1" applyBorder="1" applyAlignment="1">
      <alignment horizontal="center" vertical="center"/>
    </xf>
    <xf numFmtId="10" fontId="8" fillId="2" borderId="34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/>
    </xf>
    <xf numFmtId="10" fontId="8" fillId="2" borderId="26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9" fillId="3" borderId="0" xfId="0" applyFont="1" applyFill="1" applyAlignment="1" applyProtection="1">
      <alignment horizontal="left"/>
      <protection locked="0"/>
    </xf>
    <xf numFmtId="0" fontId="8" fillId="3" borderId="0" xfId="0" applyFont="1" applyFill="1" applyAlignment="1" applyProtection="1">
      <alignment horizontal="left"/>
      <protection locked="0"/>
    </xf>
    <xf numFmtId="15" fontId="8" fillId="3" borderId="0" xfId="0" applyNumberFormat="1" applyFont="1" applyFill="1" applyAlignment="1" applyProtection="1">
      <alignment horizontal="left"/>
      <protection locked="0"/>
    </xf>
    <xf numFmtId="167" fontId="8" fillId="2" borderId="17" xfId="0" applyNumberFormat="1" applyFont="1" applyFill="1" applyBorder="1" applyAlignment="1">
      <alignment horizontal="center"/>
    </xf>
    <xf numFmtId="167" fontId="8" fillId="2" borderId="22" xfId="0" applyNumberFormat="1" applyFont="1" applyFill="1" applyBorder="1" applyAlignment="1">
      <alignment horizontal="center"/>
    </xf>
    <xf numFmtId="167" fontId="8" fillId="2" borderId="25" xfId="0" applyNumberFormat="1" applyFont="1" applyFill="1" applyBorder="1" applyAlignment="1">
      <alignment horizontal="center"/>
    </xf>
    <xf numFmtId="167" fontId="8" fillId="2" borderId="18" xfId="0" applyNumberFormat="1" applyFont="1" applyFill="1" applyBorder="1" applyAlignment="1">
      <alignment horizontal="center"/>
    </xf>
    <xf numFmtId="167" fontId="8" fillId="2" borderId="14" xfId="0" applyNumberFormat="1" applyFont="1" applyFill="1" applyBorder="1" applyAlignment="1">
      <alignment horizontal="center"/>
    </xf>
    <xf numFmtId="167" fontId="8" fillId="2" borderId="26" xfId="0" applyNumberFormat="1" applyFont="1" applyFill="1" applyBorder="1" applyAlignment="1">
      <alignment horizontal="center"/>
    </xf>
    <xf numFmtId="1" fontId="9" fillId="6" borderId="34" xfId="0" applyNumberFormat="1" applyFont="1" applyFill="1" applyBorder="1" applyAlignment="1">
      <alignment horizontal="center"/>
    </xf>
    <xf numFmtId="0" fontId="8" fillId="2" borderId="7" xfId="0" applyFont="1" applyFill="1" applyBorder="1"/>
    <xf numFmtId="0" fontId="9" fillId="2" borderId="11" xfId="0" applyFont="1" applyFill="1" applyBorder="1"/>
    <xf numFmtId="0" fontId="8" fillId="2" borderId="7" xfId="0" applyFont="1" applyFill="1" applyBorder="1"/>
    <xf numFmtId="0" fontId="8" fillId="2" borderId="11" xfId="0" applyFont="1" applyFill="1" applyBorder="1"/>
    <xf numFmtId="0" fontId="8" fillId="2" borderId="10" xfId="0" applyFont="1" applyFill="1" applyBorder="1" applyAlignment="1">
      <alignment horizontal="center"/>
    </xf>
    <xf numFmtId="0" fontId="9" fillId="2" borderId="0" xfId="0" applyFont="1" applyFill="1" applyAlignment="1">
      <alignment horizontal="right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21" xfId="0" applyNumberFormat="1" applyFont="1" applyFill="1" applyBorder="1" applyAlignment="1">
      <alignment horizontal="center" vertical="center"/>
    </xf>
    <xf numFmtId="10" fontId="8" fillId="2" borderId="39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>
      <alignment horizontal="center"/>
    </xf>
    <xf numFmtId="2" fontId="8" fillId="2" borderId="53" xfId="0" applyNumberFormat="1" applyFont="1" applyFill="1" applyBorder="1" applyAlignment="1">
      <alignment horizontal="center"/>
    </xf>
    <xf numFmtId="2" fontId="8" fillId="2" borderId="34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8" fillId="3" borderId="0" xfId="0" applyFont="1" applyFill="1" applyProtection="1">
      <protection locked="0"/>
    </xf>
    <xf numFmtId="0" fontId="9" fillId="2" borderId="21" xfId="0" applyFont="1" applyFill="1" applyBorder="1" applyAlignment="1">
      <alignment horizontal="center"/>
    </xf>
    <xf numFmtId="0" fontId="9" fillId="2" borderId="21" xfId="0" applyFont="1" applyFill="1" applyBorder="1" applyAlignment="1">
      <alignment horizontal="center"/>
    </xf>
    <xf numFmtId="10" fontId="8" fillId="2" borderId="19" xfId="0" applyNumberFormat="1" applyFont="1" applyFill="1" applyBorder="1" applyAlignment="1">
      <alignment horizontal="center"/>
    </xf>
    <xf numFmtId="10" fontId="8" fillId="2" borderId="21" xfId="0" applyNumberFormat="1" applyFont="1" applyFill="1" applyBorder="1" applyAlignment="1">
      <alignment horizontal="center"/>
    </xf>
    <xf numFmtId="10" fontId="8" fillId="2" borderId="23" xfId="0" applyNumberFormat="1" applyFont="1" applyFill="1" applyBorder="1" applyAlignment="1">
      <alignment horizontal="center"/>
    </xf>
    <xf numFmtId="2" fontId="8" fillId="2" borderId="4" xfId="0" applyNumberFormat="1" applyFont="1" applyFill="1" applyBorder="1" applyAlignment="1">
      <alignment horizontal="center"/>
    </xf>
    <xf numFmtId="2" fontId="8" fillId="2" borderId="3" xfId="0" applyNumberFormat="1" applyFont="1" applyFill="1" applyBorder="1" applyAlignment="1">
      <alignment horizontal="center"/>
    </xf>
    <xf numFmtId="2" fontId="8" fillId="2" borderId="5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1" fontId="9" fillId="6" borderId="45" xfId="0" applyNumberFormat="1" applyFont="1" applyFill="1" applyBorder="1" applyAlignment="1">
      <alignment horizontal="center"/>
    </xf>
    <xf numFmtId="0" fontId="8" fillId="2" borderId="54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45" xfId="0" applyFont="1" applyFill="1" applyBorder="1" applyAlignment="1">
      <alignment horizontal="right"/>
    </xf>
    <xf numFmtId="2" fontId="8" fillId="7" borderId="18" xfId="0" applyNumberFormat="1" applyFont="1" applyFill="1" applyBorder="1" applyAlignment="1">
      <alignment horizontal="center"/>
    </xf>
    <xf numFmtId="0" fontId="8" fillId="2" borderId="31" xfId="0" applyFont="1" applyFill="1" applyBorder="1" applyAlignment="1">
      <alignment horizontal="right"/>
    </xf>
    <xf numFmtId="167" fontId="9" fillId="7" borderId="3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1" fontId="9" fillId="6" borderId="55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2" fontId="8" fillId="7" borderId="18" xfId="0" applyNumberFormat="1" applyFont="1" applyFill="1" applyBorder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8" fillId="2" borderId="0" xfId="0" applyFont="1" applyFill="1" applyAlignment="1">
      <alignment horizontal="right"/>
    </xf>
    <xf numFmtId="0" fontId="8" fillId="2" borderId="0" xfId="0" applyFont="1" applyFill="1"/>
    <xf numFmtId="165" fontId="9" fillId="2" borderId="0" xfId="0" applyNumberFormat="1" applyFont="1" applyFill="1" applyAlignment="1">
      <alignment horizontal="center"/>
    </xf>
    <xf numFmtId="0" fontId="11" fillId="3" borderId="0" xfId="0" applyFont="1" applyFill="1" applyAlignment="1" applyProtection="1">
      <alignment horizontal="center"/>
      <protection locked="0"/>
    </xf>
    <xf numFmtId="0" fontId="11" fillId="3" borderId="0" xfId="0" applyFont="1" applyFill="1" applyAlignment="1" applyProtection="1">
      <alignment horizontal="center"/>
      <protection locked="0"/>
    </xf>
    <xf numFmtId="2" fontId="11" fillId="3" borderId="0" xfId="0" applyNumberFormat="1" applyFont="1" applyFill="1" applyAlignment="1" applyProtection="1">
      <alignment horizontal="center"/>
      <protection locked="0"/>
    </xf>
    <xf numFmtId="0" fontId="11" fillId="3" borderId="15" xfId="0" applyFont="1" applyFill="1" applyBorder="1" applyAlignment="1" applyProtection="1">
      <alignment horizontal="center"/>
      <protection locked="0"/>
    </xf>
    <xf numFmtId="0" fontId="11" fillId="3" borderId="21" xfId="0" applyFont="1" applyFill="1" applyBorder="1" applyAlignment="1" applyProtection="1">
      <alignment horizontal="center"/>
      <protection locked="0"/>
    </xf>
    <xf numFmtId="0" fontId="11" fillId="3" borderId="20" xfId="0" applyFont="1" applyFill="1" applyBorder="1" applyAlignment="1" applyProtection="1">
      <alignment horizontal="center"/>
      <protection locked="0"/>
    </xf>
    <xf numFmtId="0" fontId="11" fillId="3" borderId="13" xfId="0" applyFont="1" applyFill="1" applyBorder="1" applyAlignment="1" applyProtection="1">
      <alignment horizontal="center"/>
      <protection locked="0"/>
    </xf>
    <xf numFmtId="0" fontId="11" fillId="3" borderId="24" xfId="0" applyFont="1" applyFill="1" applyBorder="1" applyAlignment="1" applyProtection="1">
      <alignment horizontal="center"/>
      <protection locked="0"/>
    </xf>
    <xf numFmtId="0" fontId="11" fillId="3" borderId="44" xfId="0" applyFont="1" applyFill="1" applyBorder="1" applyAlignment="1" applyProtection="1">
      <alignment horizontal="center"/>
      <protection locked="0"/>
    </xf>
    <xf numFmtId="0" fontId="11" fillId="3" borderId="31" xfId="0" applyFont="1" applyFill="1" applyBorder="1" applyAlignment="1" applyProtection="1">
      <alignment horizontal="center"/>
      <protection locked="0"/>
    </xf>
    <xf numFmtId="0" fontId="11" fillId="3" borderId="40" xfId="0" applyFont="1" applyFill="1" applyBorder="1" applyAlignment="1" applyProtection="1">
      <alignment horizontal="center"/>
      <protection locked="0"/>
    </xf>
    <xf numFmtId="2" fontId="10" fillId="2" borderId="39" xfId="0" applyNumberFormat="1" applyFont="1" applyFill="1" applyBorder="1" applyAlignment="1">
      <alignment horizontal="center"/>
    </xf>
    <xf numFmtId="0" fontId="11" fillId="3" borderId="12" xfId="0" applyFont="1" applyFill="1" applyBorder="1" applyAlignment="1" applyProtection="1">
      <alignment horizontal="center"/>
      <protection locked="0"/>
    </xf>
    <xf numFmtId="0" fontId="11" fillId="3" borderId="36" xfId="0" applyFont="1" applyFill="1" applyBorder="1" applyAlignment="1" applyProtection="1">
      <alignment horizontal="center"/>
      <protection locked="0"/>
    </xf>
    <xf numFmtId="10" fontId="11" fillId="7" borderId="23" xfId="0" applyNumberFormat="1" applyFont="1" applyFill="1" applyBorder="1" applyAlignment="1">
      <alignment horizontal="center"/>
    </xf>
    <xf numFmtId="10" fontId="11" fillId="6" borderId="56" xfId="0" applyNumberFormat="1" applyFont="1" applyFill="1" applyBorder="1" applyAlignment="1">
      <alignment horizontal="center"/>
    </xf>
    <xf numFmtId="0" fontId="11" fillId="7" borderId="57" xfId="0" applyFont="1" applyFill="1" applyBorder="1" applyAlignment="1">
      <alignment horizontal="center"/>
    </xf>
    <xf numFmtId="167" fontId="11" fillId="3" borderId="24" xfId="0" applyNumberFormat="1" applyFont="1" applyFill="1" applyBorder="1" applyAlignment="1" applyProtection="1">
      <alignment horizontal="center"/>
      <protection locked="0"/>
    </xf>
    <xf numFmtId="1" fontId="11" fillId="3" borderId="22" xfId="0" applyNumberFormat="1" applyFont="1" applyFill="1" applyBorder="1" applyAlignment="1" applyProtection="1">
      <alignment horizontal="center"/>
      <protection locked="0"/>
    </xf>
    <xf numFmtId="1" fontId="11" fillId="3" borderId="25" xfId="0" applyNumberFormat="1" applyFont="1" applyFill="1" applyBorder="1" applyAlignment="1" applyProtection="1">
      <alignment horizontal="center"/>
      <protection locked="0"/>
    </xf>
    <xf numFmtId="0" fontId="19" fillId="3" borderId="0" xfId="0" applyFont="1" applyFill="1" applyAlignment="1" applyProtection="1">
      <alignment horizontal="center"/>
      <protection locked="0"/>
    </xf>
    <xf numFmtId="0" fontId="10" fillId="3" borderId="15" xfId="0" applyFont="1" applyFill="1" applyBorder="1" applyAlignment="1" applyProtection="1">
      <alignment horizontal="center"/>
      <protection locked="0"/>
    </xf>
    <xf numFmtId="0" fontId="10" fillId="3" borderId="21" xfId="0" applyFont="1" applyFill="1" applyBorder="1" applyAlignment="1" applyProtection="1">
      <alignment horizontal="center"/>
      <protection locked="0"/>
    </xf>
    <xf numFmtId="1" fontId="10" fillId="3" borderId="22" xfId="0" applyNumberFormat="1" applyFont="1" applyFill="1" applyBorder="1" applyAlignment="1" applyProtection="1">
      <alignment horizontal="center"/>
      <protection locked="0"/>
    </xf>
    <xf numFmtId="1" fontId="10" fillId="3" borderId="25" xfId="0" applyNumberFormat="1" applyFont="1" applyFill="1" applyBorder="1" applyAlignment="1" applyProtection="1">
      <alignment horizontal="center"/>
      <protection locked="0"/>
    </xf>
    <xf numFmtId="10" fontId="11" fillId="7" borderId="40" xfId="0" applyNumberFormat="1" applyFont="1" applyFill="1" applyBorder="1" applyAlignment="1">
      <alignment horizontal="center"/>
    </xf>
    <xf numFmtId="10" fontId="11" fillId="6" borderId="40" xfId="0" applyNumberFormat="1" applyFont="1" applyFill="1" applyBorder="1" applyAlignment="1">
      <alignment horizontal="center"/>
    </xf>
    <xf numFmtId="0" fontId="11" fillId="7" borderId="33" xfId="0" applyFont="1" applyFill="1" applyBorder="1" applyAlignment="1">
      <alignment horizontal="center"/>
    </xf>
    <xf numFmtId="165" fontId="11" fillId="2" borderId="0" xfId="0" applyNumberFormat="1" applyFont="1" applyFill="1" applyAlignment="1">
      <alignment horizontal="center"/>
    </xf>
    <xf numFmtId="0" fontId="8" fillId="2" borderId="21" xfId="0" applyFont="1" applyFill="1" applyBorder="1" applyAlignment="1" applyProtection="1">
      <alignment horizontal="center"/>
      <protection locked="0"/>
    </xf>
    <xf numFmtId="0" fontId="8" fillId="2" borderId="0" xfId="0" applyFont="1" applyFill="1" applyProtection="1">
      <protection locked="0"/>
    </xf>
    <xf numFmtId="169" fontId="9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6" fillId="2" borderId="0" xfId="0" applyFont="1" applyFill="1" applyAlignment="1">
      <alignment horizontal="center" vertical="center"/>
    </xf>
    <xf numFmtId="0" fontId="17" fillId="2" borderId="0" xfId="0" applyFont="1" applyFill="1" applyAlignment="1">
      <alignment horizontal="center" vertical="center"/>
    </xf>
    <xf numFmtId="0" fontId="9" fillId="2" borderId="10" xfId="0" applyFont="1" applyFill="1" applyBorder="1" applyAlignment="1">
      <alignment horizontal="center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9" fillId="2" borderId="41" xfId="0" applyFont="1" applyFill="1" applyBorder="1" applyAlignment="1">
      <alignment horizontal="center"/>
    </xf>
    <xf numFmtId="0" fontId="9" fillId="2" borderId="51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9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center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1" fillId="3" borderId="0" xfId="0" applyFont="1" applyFill="1" applyAlignment="1" applyProtection="1">
      <alignment horizontal="left"/>
      <protection locked="0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30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2" fontId="11" fillId="3" borderId="35" xfId="0" applyNumberFormat="1" applyFont="1" applyFill="1" applyBorder="1" applyAlignment="1" applyProtection="1">
      <alignment horizontal="center" vertical="center"/>
      <protection locked="0"/>
    </xf>
    <xf numFmtId="2" fontId="11" fillId="3" borderId="53" xfId="0" applyNumberFormat="1" applyFont="1" applyFill="1" applyBorder="1" applyAlignment="1" applyProtection="1">
      <alignment horizontal="center" vertical="center"/>
      <protection locked="0"/>
    </xf>
    <xf numFmtId="2" fontId="11" fillId="3" borderId="34" xfId="0" applyNumberFormat="1" applyFont="1" applyFill="1" applyBorder="1" applyAlignment="1" applyProtection="1">
      <alignment horizontal="center" vertical="center"/>
      <protection locked="0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36" xfId="0" applyFont="1" applyFill="1" applyBorder="1" applyAlignment="1">
      <alignment horizontal="center" vertical="center" wrapText="1"/>
    </xf>
    <xf numFmtId="0" fontId="14" fillId="2" borderId="39" xfId="0" applyFont="1" applyFill="1" applyBorder="1" applyAlignment="1">
      <alignment horizontal="center" vertical="center" wrapText="1"/>
    </xf>
    <xf numFmtId="0" fontId="20" fillId="2" borderId="48" xfId="0" applyFont="1" applyFill="1" applyBorder="1" applyAlignment="1">
      <alignment horizontal="center"/>
    </xf>
    <xf numFmtId="0" fontId="20" fillId="2" borderId="49" xfId="0" applyFont="1" applyFill="1" applyBorder="1" applyAlignment="1">
      <alignment horizontal="center"/>
    </xf>
    <xf numFmtId="0" fontId="20" fillId="2" borderId="50" xfId="0" applyFont="1" applyFill="1" applyBorder="1" applyAlignment="1">
      <alignment horizontal="center"/>
    </xf>
    <xf numFmtId="0" fontId="9" fillId="3" borderId="0" xfId="0" applyFont="1" applyFill="1" applyAlignment="1" applyProtection="1">
      <alignment horizontal="left"/>
      <protection locked="0"/>
    </xf>
    <xf numFmtId="0" fontId="1" fillId="2" borderId="0" xfId="1" applyFont="1" applyFill="1"/>
    <xf numFmtId="0" fontId="22" fillId="2" borderId="0" xfId="1" applyFill="1"/>
    <xf numFmtId="0" fontId="23" fillId="2" borderId="48" xfId="1" applyFont="1" applyFill="1" applyBorder="1" applyAlignment="1">
      <alignment horizontal="center" wrapText="1"/>
    </xf>
    <xf numFmtId="0" fontId="23" fillId="2" borderId="49" xfId="1" applyFont="1" applyFill="1" applyBorder="1" applyAlignment="1">
      <alignment horizontal="center" wrapText="1"/>
    </xf>
    <xf numFmtId="0" fontId="23" fillId="2" borderId="50" xfId="1" applyFont="1" applyFill="1" applyBorder="1" applyAlignment="1">
      <alignment horizontal="center" wrapText="1"/>
    </xf>
    <xf numFmtId="0" fontId="23" fillId="2" borderId="0" xfId="1" applyFont="1" applyFill="1" applyAlignment="1">
      <alignment wrapText="1"/>
    </xf>
    <xf numFmtId="0" fontId="4" fillId="2" borderId="0" xfId="1" applyFont="1" applyFill="1" applyAlignment="1">
      <alignment horizontal="center"/>
    </xf>
    <xf numFmtId="0" fontId="4" fillId="2" borderId="0" xfId="1" applyFont="1" applyFill="1"/>
    <xf numFmtId="0" fontId="5" fillId="2" borderId="0" xfId="1" applyFont="1" applyFill="1" applyAlignment="1">
      <alignment horizontal="right"/>
    </xf>
    <xf numFmtId="0" fontId="6" fillId="2" borderId="0" xfId="1" applyFont="1" applyFill="1"/>
    <xf numFmtId="170" fontId="6" fillId="2" borderId="0" xfId="1" applyNumberFormat="1" applyFont="1" applyFill="1" applyAlignment="1">
      <alignment horizontal="center"/>
    </xf>
    <xf numFmtId="0" fontId="5" fillId="2" borderId="0" xfId="1" applyFont="1" applyFill="1" applyAlignment="1">
      <alignment horizontal="right"/>
    </xf>
    <xf numFmtId="170" fontId="6" fillId="2" borderId="0" xfId="1" applyNumberFormat="1" applyFont="1" applyFill="1"/>
    <xf numFmtId="0" fontId="4" fillId="2" borderId="0" xfId="1" applyFont="1" applyFill="1" applyAlignment="1">
      <alignment horizontal="left"/>
    </xf>
    <xf numFmtId="0" fontId="24" fillId="2" borderId="0" xfId="1" applyFont="1" applyFill="1"/>
    <xf numFmtId="164" fontId="1" fillId="2" borderId="0" xfId="1" applyNumberFormat="1" applyFont="1" applyFill="1" applyAlignment="1">
      <alignment horizontal="center"/>
    </xf>
    <xf numFmtId="164" fontId="1" fillId="2" borderId="0" xfId="1" applyNumberFormat="1" applyFont="1" applyFill="1"/>
    <xf numFmtId="164" fontId="5" fillId="2" borderId="58" xfId="1" applyNumberFormat="1" applyFont="1" applyFill="1" applyBorder="1" applyAlignment="1">
      <alignment horizontal="center" wrapText="1"/>
    </xf>
    <xf numFmtId="0" fontId="5" fillId="2" borderId="58" xfId="1" applyFont="1" applyFill="1" applyBorder="1" applyAlignment="1">
      <alignment horizontal="center" wrapText="1"/>
    </xf>
    <xf numFmtId="0" fontId="2" fillId="2" borderId="0" xfId="1" applyFont="1" applyFill="1" applyAlignment="1">
      <alignment horizontal="center"/>
    </xf>
    <xf numFmtId="2" fontId="6" fillId="3" borderId="53" xfId="1" applyNumberFormat="1" applyFont="1" applyFill="1" applyBorder="1" applyProtection="1">
      <protection locked="0"/>
    </xf>
    <xf numFmtId="10" fontId="6" fillId="2" borderId="35" xfId="1" applyNumberFormat="1" applyFont="1" applyFill="1" applyBorder="1" applyAlignment="1">
      <alignment horizontal="center"/>
    </xf>
    <xf numFmtId="10" fontId="6" fillId="2" borderId="0" xfId="1" applyNumberFormat="1" applyFont="1" applyFill="1" applyAlignment="1">
      <alignment horizontal="center"/>
    </xf>
    <xf numFmtId="10" fontId="6" fillId="2" borderId="53" xfId="1" applyNumberFormat="1" applyFont="1" applyFill="1" applyBorder="1" applyAlignment="1">
      <alignment horizontal="center"/>
    </xf>
    <xf numFmtId="2" fontId="6" fillId="3" borderId="34" xfId="1" applyNumberFormat="1" applyFont="1" applyFill="1" applyBorder="1" applyProtection="1">
      <protection locked="0"/>
    </xf>
    <xf numFmtId="10" fontId="6" fillId="2" borderId="34" xfId="1" applyNumberFormat="1" applyFont="1" applyFill="1" applyBorder="1" applyAlignment="1">
      <alignment horizontal="center"/>
    </xf>
    <xf numFmtId="169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Alignment="1">
      <alignment horizontal="center"/>
    </xf>
    <xf numFmtId="0" fontId="6" fillId="2" borderId="58" xfId="1" applyFont="1" applyFill="1" applyBorder="1" applyAlignment="1">
      <alignment horizontal="right" vertical="center"/>
    </xf>
    <xf numFmtId="169" fontId="6" fillId="2" borderId="58" xfId="1" applyNumberFormat="1" applyFont="1" applyFill="1" applyBorder="1" applyAlignment="1">
      <alignment horizontal="center" vertical="center"/>
    </xf>
    <xf numFmtId="169" fontId="6" fillId="2" borderId="0" xfId="1" applyNumberFormat="1" applyFont="1" applyFill="1" applyAlignment="1">
      <alignment horizontal="center"/>
    </xf>
    <xf numFmtId="164" fontId="5" fillId="2" borderId="58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right"/>
    </xf>
    <xf numFmtId="2" fontId="5" fillId="2" borderId="0" xfId="1" applyNumberFormat="1" applyFont="1" applyFill="1"/>
    <xf numFmtId="2" fontId="25" fillId="2" borderId="0" xfId="1" applyNumberFormat="1" applyFont="1" applyFill="1"/>
    <xf numFmtId="0" fontId="5" fillId="2" borderId="58" xfId="1" applyFont="1" applyFill="1" applyBorder="1" applyAlignment="1">
      <alignment horizontal="center" vertical="center"/>
    </xf>
    <xf numFmtId="10" fontId="2" fillId="2" borderId="0" xfId="1" applyNumberFormat="1" applyFont="1" applyFill="1"/>
    <xf numFmtId="169" fontId="5" fillId="2" borderId="35" xfId="1" applyNumberFormat="1" applyFont="1" applyFill="1" applyBorder="1" applyAlignment="1">
      <alignment horizontal="center" vertical="center"/>
    </xf>
    <xf numFmtId="165" fontId="5" fillId="2" borderId="31" xfId="1" applyNumberFormat="1" applyFont="1" applyFill="1" applyBorder="1" applyAlignment="1">
      <alignment horizontal="center"/>
    </xf>
    <xf numFmtId="2" fontId="5" fillId="2" borderId="58" xfId="1" applyNumberFormat="1" applyFont="1" applyFill="1" applyBorder="1" applyAlignment="1">
      <alignment horizontal="center" vertical="center"/>
    </xf>
    <xf numFmtId="169" fontId="5" fillId="2" borderId="34" xfId="1" applyNumberFormat="1" applyFont="1" applyFill="1" applyBorder="1" applyAlignment="1">
      <alignment horizontal="center" vertical="center"/>
    </xf>
    <xf numFmtId="165" fontId="5" fillId="2" borderId="33" xfId="1" applyNumberFormat="1" applyFont="1" applyFill="1" applyBorder="1" applyAlignment="1">
      <alignment horizontal="center"/>
    </xf>
    <xf numFmtId="0" fontId="6" fillId="2" borderId="9" xfId="1" applyFont="1" applyFill="1" applyBorder="1"/>
    <xf numFmtId="0" fontId="6" fillId="2" borderId="0" xfId="1" applyFont="1" applyFill="1" applyAlignment="1">
      <alignment horizontal="center"/>
    </xf>
    <xf numFmtId="10" fontId="6" fillId="2" borderId="9" xfId="1" applyNumberFormat="1" applyFont="1" applyFill="1" applyBorder="1"/>
    <xf numFmtId="0" fontId="5" fillId="2" borderId="10" xfId="1" applyFont="1" applyFill="1" applyBorder="1"/>
    <xf numFmtId="0" fontId="5" fillId="2" borderId="10" xfId="1" applyFont="1" applyFill="1" applyBorder="1" applyAlignment="1">
      <alignment horizontal="center"/>
    </xf>
    <xf numFmtId="0" fontId="6" fillId="2" borderId="10" xfId="1" applyFont="1" applyFill="1" applyBorder="1" applyAlignment="1">
      <alignment horizontal="center"/>
    </xf>
    <xf numFmtId="0" fontId="6" fillId="2" borderId="7" xfId="1" applyFont="1" applyFill="1" applyBorder="1"/>
    <xf numFmtId="0" fontId="5" fillId="2" borderId="11" xfId="1" applyFont="1" applyFill="1" applyBorder="1"/>
    <xf numFmtId="0" fontId="5" fillId="2" borderId="0" xfId="1" applyFont="1" applyFill="1"/>
    <xf numFmtId="0" fontId="6" fillId="2" borderId="11" xfId="1" applyFont="1" applyFill="1" applyBorder="1"/>
  </cellXfs>
  <cellStyles count="2">
    <cellStyle name="Normal" xfId="0" builtinId="0"/>
    <cellStyle name="Normal 2" xfId="1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1" workbookViewId="0">
      <selection activeCell="D53" sqref="D53"/>
    </sheetView>
  </sheetViews>
  <sheetFormatPr defaultRowHeight="15" x14ac:dyDescent="0.3"/>
  <cols>
    <col min="1" max="1" width="15.5703125" style="451" customWidth="1"/>
    <col min="2" max="2" width="18.42578125" style="451" customWidth="1"/>
    <col min="3" max="3" width="14.28515625" style="451" customWidth="1"/>
    <col min="4" max="4" width="15" style="451" customWidth="1"/>
    <col min="5" max="5" width="9.140625" style="451" customWidth="1"/>
    <col min="6" max="6" width="27.85546875" style="451" customWidth="1"/>
    <col min="7" max="7" width="12.28515625" style="451" customWidth="1"/>
    <col min="8" max="8" width="9.140625" style="451" customWidth="1"/>
    <col min="9" max="16384" width="9.140625" style="452"/>
  </cols>
  <sheetData>
    <row r="10" spans="1:7" ht="13.5" customHeight="1" thickBot="1" x14ac:dyDescent="0.35"/>
    <row r="11" spans="1:7" ht="13.5" customHeight="1" thickBot="1" x14ac:dyDescent="0.35">
      <c r="A11" s="453" t="s">
        <v>31</v>
      </c>
      <c r="B11" s="454"/>
      <c r="C11" s="454"/>
      <c r="D11" s="454"/>
      <c r="E11" s="454"/>
      <c r="F11" s="455"/>
      <c r="G11" s="456"/>
    </row>
    <row r="12" spans="1:7" ht="16.5" customHeight="1" x14ac:dyDescent="0.3">
      <c r="A12" s="457" t="s">
        <v>111</v>
      </c>
      <c r="B12" s="457"/>
      <c r="C12" s="457"/>
      <c r="D12" s="457"/>
      <c r="E12" s="457"/>
      <c r="F12" s="457"/>
      <c r="G12" s="458"/>
    </row>
    <row r="14" spans="1:7" ht="16.5" customHeight="1" x14ac:dyDescent="0.3">
      <c r="A14" s="459" t="s">
        <v>33</v>
      </c>
      <c r="B14" s="459"/>
      <c r="C14" s="460" t="s">
        <v>112</v>
      </c>
    </row>
    <row r="15" spans="1:7" ht="16.5" customHeight="1" x14ac:dyDescent="0.3">
      <c r="A15" s="459" t="s">
        <v>34</v>
      </c>
      <c r="B15" s="459"/>
      <c r="C15" s="460" t="s">
        <v>113</v>
      </c>
    </row>
    <row r="16" spans="1:7" ht="16.5" customHeight="1" x14ac:dyDescent="0.3">
      <c r="A16" s="459" t="s">
        <v>35</v>
      </c>
      <c r="B16" s="459"/>
      <c r="C16" s="460" t="s">
        <v>114</v>
      </c>
    </row>
    <row r="17" spans="1:5" ht="16.5" customHeight="1" x14ac:dyDescent="0.3">
      <c r="A17" s="459" t="s">
        <v>36</v>
      </c>
      <c r="B17" s="459"/>
      <c r="C17" s="460" t="s">
        <v>115</v>
      </c>
    </row>
    <row r="18" spans="1:5" ht="16.5" customHeight="1" x14ac:dyDescent="0.3">
      <c r="A18" s="459" t="s">
        <v>37</v>
      </c>
      <c r="B18" s="459"/>
      <c r="C18" s="461" t="s">
        <v>116</v>
      </c>
    </row>
    <row r="19" spans="1:5" ht="16.5" customHeight="1" x14ac:dyDescent="0.3">
      <c r="A19" s="459" t="s">
        <v>38</v>
      </c>
      <c r="B19" s="459"/>
      <c r="C19" s="461" t="e">
        <f>#REF!</f>
        <v>#REF!</v>
      </c>
    </row>
    <row r="20" spans="1:5" ht="16.5" customHeight="1" x14ac:dyDescent="0.3">
      <c r="A20" s="462"/>
      <c r="B20" s="462"/>
      <c r="C20" s="463"/>
    </row>
    <row r="21" spans="1:5" ht="16.5" customHeight="1" x14ac:dyDescent="0.3">
      <c r="A21" s="457" t="s">
        <v>1</v>
      </c>
      <c r="B21" s="457"/>
      <c r="C21" s="464" t="s">
        <v>117</v>
      </c>
      <c r="D21" s="465"/>
    </row>
    <row r="22" spans="1:5" ht="15.75" customHeight="1" thickBot="1" x14ac:dyDescent="0.35">
      <c r="A22" s="466"/>
      <c r="B22" s="466"/>
      <c r="C22" s="467"/>
      <c r="D22" s="466"/>
      <c r="E22" s="466"/>
    </row>
    <row r="23" spans="1:5" ht="33.75" customHeight="1" thickBot="1" x14ac:dyDescent="0.35">
      <c r="C23" s="468" t="s">
        <v>118</v>
      </c>
      <c r="D23" s="469" t="s">
        <v>119</v>
      </c>
      <c r="E23" s="470"/>
    </row>
    <row r="24" spans="1:5" ht="15.75" customHeight="1" x14ac:dyDescent="0.3">
      <c r="C24" s="471">
        <v>144.37</v>
      </c>
      <c r="D24" s="472">
        <f t="shared" ref="D24:D43" si="0">(C24-$C$46)/$C$46</f>
        <v>-1.8765589848502327E-2</v>
      </c>
      <c r="E24" s="473"/>
    </row>
    <row r="25" spans="1:5" ht="15.75" customHeight="1" x14ac:dyDescent="0.3">
      <c r="C25" s="471">
        <v>146.52000000000001</v>
      </c>
      <c r="D25" s="474">
        <f t="shared" si="0"/>
        <v>-4.152761824496469E-3</v>
      </c>
      <c r="E25" s="473"/>
    </row>
    <row r="26" spans="1:5" ht="15.75" customHeight="1" x14ac:dyDescent="0.3">
      <c r="C26" s="471">
        <v>146.05000000000001</v>
      </c>
      <c r="D26" s="474">
        <f t="shared" si="0"/>
        <v>-7.3471939971861055E-3</v>
      </c>
      <c r="E26" s="473"/>
    </row>
    <row r="27" spans="1:5" ht="15.75" customHeight="1" x14ac:dyDescent="0.3">
      <c r="C27" s="471">
        <v>148.63999999999999</v>
      </c>
      <c r="D27" s="474">
        <f t="shared" si="0"/>
        <v>1.0256166273592826E-2</v>
      </c>
      <c r="E27" s="473"/>
    </row>
    <row r="28" spans="1:5" ht="15.75" customHeight="1" x14ac:dyDescent="0.3">
      <c r="C28" s="471">
        <v>152.34</v>
      </c>
      <c r="D28" s="474">
        <f t="shared" si="0"/>
        <v>3.5403823803277376E-2</v>
      </c>
      <c r="E28" s="473"/>
    </row>
    <row r="29" spans="1:5" ht="15.75" customHeight="1" x14ac:dyDescent="0.3">
      <c r="C29" s="471">
        <v>148.03</v>
      </c>
      <c r="D29" s="474">
        <f t="shared" si="0"/>
        <v>6.1102011132936019E-3</v>
      </c>
      <c r="E29" s="473"/>
    </row>
    <row r="30" spans="1:5" ht="15.75" customHeight="1" x14ac:dyDescent="0.3">
      <c r="C30" s="471">
        <v>147.46</v>
      </c>
      <c r="D30" s="474">
        <f t="shared" si="0"/>
        <v>2.2361025208828033E-3</v>
      </c>
      <c r="E30" s="473"/>
    </row>
    <row r="31" spans="1:5" ht="15.75" customHeight="1" x14ac:dyDescent="0.3">
      <c r="C31" s="471">
        <v>144.86000000000001</v>
      </c>
      <c r="D31" s="474">
        <f t="shared" si="0"/>
        <v>-1.5435224391868381E-2</v>
      </c>
      <c r="E31" s="473"/>
    </row>
    <row r="32" spans="1:5" ht="15.75" customHeight="1" x14ac:dyDescent="0.3">
      <c r="C32" s="471">
        <v>145.63999999999999</v>
      </c>
      <c r="D32" s="474">
        <f t="shared" si="0"/>
        <v>-1.0133826318043198E-2</v>
      </c>
      <c r="E32" s="473"/>
    </row>
    <row r="33" spans="1:7" ht="15.75" customHeight="1" x14ac:dyDescent="0.3">
      <c r="C33" s="471">
        <v>149.38</v>
      </c>
      <c r="D33" s="474">
        <f t="shared" si="0"/>
        <v>1.5285697779529775E-2</v>
      </c>
      <c r="E33" s="473"/>
    </row>
    <row r="34" spans="1:7" ht="15.75" customHeight="1" x14ac:dyDescent="0.3">
      <c r="C34" s="471">
        <v>144.41</v>
      </c>
      <c r="D34" s="474">
        <f t="shared" si="0"/>
        <v>-1.84937232806139E-2</v>
      </c>
      <c r="E34" s="473"/>
    </row>
    <row r="35" spans="1:7" ht="15.75" customHeight="1" x14ac:dyDescent="0.3">
      <c r="C35" s="471">
        <v>149.88999999999999</v>
      </c>
      <c r="D35" s="474">
        <f t="shared" si="0"/>
        <v>1.8751996520107835E-2</v>
      </c>
      <c r="E35" s="473"/>
    </row>
    <row r="36" spans="1:7" ht="15.75" customHeight="1" x14ac:dyDescent="0.3">
      <c r="C36" s="471">
        <v>146.66</v>
      </c>
      <c r="D36" s="474">
        <f t="shared" si="0"/>
        <v>-3.2012288368868805E-3</v>
      </c>
      <c r="E36" s="473"/>
    </row>
    <row r="37" spans="1:7" ht="15.75" customHeight="1" x14ac:dyDescent="0.3">
      <c r="C37" s="471">
        <v>145.43</v>
      </c>
      <c r="D37" s="474">
        <f t="shared" si="0"/>
        <v>-1.1561125799457582E-2</v>
      </c>
      <c r="E37" s="473"/>
    </row>
    <row r="38" spans="1:7" ht="15.75" customHeight="1" x14ac:dyDescent="0.3">
      <c r="C38" s="471">
        <v>146.1</v>
      </c>
      <c r="D38" s="474">
        <f t="shared" si="0"/>
        <v>-7.0073607873256212E-3</v>
      </c>
      <c r="E38" s="473"/>
    </row>
    <row r="39" spans="1:7" ht="15.75" customHeight="1" x14ac:dyDescent="0.3">
      <c r="C39" s="471">
        <v>148.91</v>
      </c>
      <c r="D39" s="474">
        <f t="shared" si="0"/>
        <v>1.2091265606840138E-2</v>
      </c>
      <c r="E39" s="473"/>
    </row>
    <row r="40" spans="1:7" ht="15.75" customHeight="1" x14ac:dyDescent="0.3">
      <c r="C40" s="471">
        <v>145.97999999999999</v>
      </c>
      <c r="D40" s="474">
        <f t="shared" si="0"/>
        <v>-7.8229604909910919E-3</v>
      </c>
      <c r="E40" s="473"/>
    </row>
    <row r="41" spans="1:7" ht="15.75" customHeight="1" x14ac:dyDescent="0.3">
      <c r="C41" s="471">
        <v>147.27000000000001</v>
      </c>
      <c r="D41" s="474">
        <f t="shared" si="0"/>
        <v>9.4473632341253715E-4</v>
      </c>
      <c r="E41" s="473"/>
    </row>
    <row r="42" spans="1:7" ht="15.75" customHeight="1" x14ac:dyDescent="0.3">
      <c r="C42" s="471">
        <v>146.79</v>
      </c>
      <c r="D42" s="474">
        <f t="shared" si="0"/>
        <v>-2.3176624912493505E-3</v>
      </c>
      <c r="E42" s="473"/>
    </row>
    <row r="43" spans="1:7" ht="16.5" customHeight="1" thickBot="1" x14ac:dyDescent="0.35">
      <c r="C43" s="475">
        <v>147.88999999999999</v>
      </c>
      <c r="D43" s="476">
        <f t="shared" si="0"/>
        <v>5.1586681256838201E-3</v>
      </c>
      <c r="E43" s="473"/>
    </row>
    <row r="44" spans="1:7" ht="16.5" customHeight="1" thickBot="1" x14ac:dyDescent="0.35">
      <c r="C44" s="477"/>
      <c r="D44" s="473"/>
      <c r="E44" s="478"/>
    </row>
    <row r="45" spans="1:7" ht="16.5" customHeight="1" thickBot="1" x14ac:dyDescent="0.35">
      <c r="B45" s="479" t="s">
        <v>120</v>
      </c>
      <c r="C45" s="480">
        <f>SUM(C24:C44)</f>
        <v>2942.62</v>
      </c>
      <c r="D45" s="481"/>
      <c r="E45" s="477"/>
    </row>
    <row r="46" spans="1:7" ht="17.25" customHeight="1" thickBot="1" x14ac:dyDescent="0.35">
      <c r="B46" s="479" t="s">
        <v>77</v>
      </c>
      <c r="C46" s="482">
        <f>AVERAGE(C24:C44)</f>
        <v>147.131</v>
      </c>
      <c r="E46" s="483"/>
    </row>
    <row r="47" spans="1:7" ht="17.25" customHeight="1" thickBot="1" x14ac:dyDescent="0.35">
      <c r="A47" s="460"/>
      <c r="B47" s="484"/>
      <c r="D47" s="485"/>
      <c r="E47" s="483"/>
    </row>
    <row r="48" spans="1:7" ht="33.75" customHeight="1" thickBot="1" x14ac:dyDescent="0.35">
      <c r="B48" s="486" t="s">
        <v>77</v>
      </c>
      <c r="C48" s="469" t="s">
        <v>121</v>
      </c>
      <c r="D48" s="487"/>
      <c r="G48" s="485"/>
    </row>
    <row r="49" spans="1:6" ht="17.25" customHeight="1" thickBot="1" x14ac:dyDescent="0.35">
      <c r="B49" s="488">
        <f>C46</f>
        <v>147.131</v>
      </c>
      <c r="C49" s="489">
        <f>-IF(C46&lt;=80,10%,IF(C46&lt;250,7.5%,5%))</f>
        <v>-7.4999999999999997E-2</v>
      </c>
      <c r="D49" s="490">
        <f>IF(C46&lt;=80,C46*0.9,IF(C46&lt;250,C46*0.925,C46*0.95))</f>
        <v>136.09617500000002</v>
      </c>
    </row>
    <row r="50" spans="1:6" ht="17.25" customHeight="1" thickBot="1" x14ac:dyDescent="0.35">
      <c r="B50" s="491"/>
      <c r="C50" s="492">
        <f>IF(C46&lt;=80, 10%, IF(C46&lt;250, 7.5%, 5%))</f>
        <v>7.4999999999999997E-2</v>
      </c>
      <c r="D50" s="490">
        <f>IF(C46&lt;=80, C46*1.1, IF(C46&lt;250, C46*1.075, C46*1.05))</f>
        <v>158.16582499999998</v>
      </c>
    </row>
    <row r="51" spans="1:6" ht="16.5" customHeight="1" thickBot="1" x14ac:dyDescent="0.35">
      <c r="A51" s="493"/>
      <c r="B51" s="494"/>
      <c r="C51" s="460"/>
      <c r="D51" s="495"/>
      <c r="E51" s="460"/>
      <c r="F51" s="465"/>
    </row>
    <row r="52" spans="1:6" ht="16.5" customHeight="1" x14ac:dyDescent="0.3">
      <c r="A52" s="460"/>
      <c r="B52" s="496" t="s">
        <v>24</v>
      </c>
      <c r="C52" s="496"/>
      <c r="D52" s="497" t="s">
        <v>25</v>
      </c>
      <c r="E52" s="498"/>
      <c r="F52" s="497" t="s">
        <v>26</v>
      </c>
    </row>
    <row r="53" spans="1:6" ht="34.5" customHeight="1" x14ac:dyDescent="0.3">
      <c r="A53" s="462" t="s">
        <v>27</v>
      </c>
      <c r="B53" s="499" t="s">
        <v>122</v>
      </c>
      <c r="C53" s="460"/>
      <c r="D53" s="499"/>
      <c r="E53" s="460"/>
      <c r="F53" s="499"/>
    </row>
    <row r="54" spans="1:6" ht="34.5" customHeight="1" x14ac:dyDescent="0.3">
      <c r="A54" s="462" t="s">
        <v>28</v>
      </c>
      <c r="B54" s="500"/>
      <c r="C54" s="501"/>
      <c r="D54" s="500"/>
      <c r="E54" s="460"/>
      <c r="F54" s="502"/>
    </row>
  </sheetData>
  <sheetProtection formatCells="0" formatColumns="0" formatRows="0" insertColumns="0" insertRows="0" insertHyperlinks="0" deleteColumns="0" deleteRows="0" sort="0" autoFilter="0" pivotTables="0"/>
  <mergeCells count="12">
    <mergeCell ref="A18:B18"/>
    <mergeCell ref="A19:B19"/>
    <mergeCell ref="A21:B21"/>
    <mergeCell ref="A22:B22"/>
    <mergeCell ref="D22:E22"/>
    <mergeCell ref="B49:B50"/>
    <mergeCell ref="A11:F11"/>
    <mergeCell ref="A12:F12"/>
    <mergeCell ref="A14:B14"/>
    <mergeCell ref="A15:B15"/>
    <mergeCell ref="A16:B16"/>
    <mergeCell ref="A17:B17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6" workbookViewId="0">
      <selection activeCell="B43" sqref="B43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14" t="s">
        <v>0</v>
      </c>
      <c r="B15" s="414"/>
      <c r="C15" s="414"/>
      <c r="D15" s="414"/>
      <c r="E15" s="414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12" t="s">
        <v>123</v>
      </c>
      <c r="C18" s="10"/>
      <c r="D18" s="10"/>
      <c r="E18" s="10"/>
    </row>
    <row r="19" spans="1:6" ht="16.5" customHeight="1" x14ac:dyDescent="0.3">
      <c r="A19" s="11" t="s">
        <v>6</v>
      </c>
      <c r="B19" s="4">
        <v>99.4</v>
      </c>
      <c r="C19" s="10"/>
      <c r="D19" s="10"/>
      <c r="E19" s="10"/>
    </row>
    <row r="20" spans="1:6" ht="16.5" customHeight="1" x14ac:dyDescent="0.3">
      <c r="A20" s="7" t="s">
        <v>8</v>
      </c>
      <c r="B20" s="12">
        <v>35.24</v>
      </c>
      <c r="C20" s="10"/>
      <c r="D20" s="10"/>
      <c r="E20" s="10"/>
    </row>
    <row r="21" spans="1:6" ht="16.5" customHeight="1" x14ac:dyDescent="0.3">
      <c r="A21" s="7" t="s">
        <v>9</v>
      </c>
      <c r="B21" s="13">
        <f>35.24/25*2/20</f>
        <v>0.14096000000000003</v>
      </c>
      <c r="C21" s="10"/>
      <c r="D21" s="10"/>
      <c r="E21" s="10"/>
    </row>
    <row r="22" spans="1:6" ht="15.75" customHeight="1" x14ac:dyDescent="0.25">
      <c r="A22" s="10"/>
      <c r="B22" s="10" t="s">
        <v>10</v>
      </c>
      <c r="C22" s="10"/>
      <c r="D22" s="10"/>
      <c r="E22" s="10"/>
    </row>
    <row r="23" spans="1:6" ht="16.5" customHeight="1" x14ac:dyDescent="0.3">
      <c r="A23" s="14" t="s">
        <v>11</v>
      </c>
      <c r="B23" s="15" t="s">
        <v>12</v>
      </c>
      <c r="C23" s="14" t="s">
        <v>13</v>
      </c>
      <c r="D23" s="14" t="s">
        <v>14</v>
      </c>
      <c r="E23" s="16" t="s">
        <v>15</v>
      </c>
    </row>
    <row r="24" spans="1:6" ht="16.5" customHeight="1" x14ac:dyDescent="0.3">
      <c r="A24" s="17">
        <v>1</v>
      </c>
      <c r="B24" s="18">
        <v>89333281</v>
      </c>
      <c r="C24" s="18">
        <v>7716.8164100000004</v>
      </c>
      <c r="D24" s="19">
        <v>1.17415</v>
      </c>
      <c r="E24" s="20">
        <v>21.209</v>
      </c>
    </row>
    <row r="25" spans="1:6" ht="16.5" customHeight="1" x14ac:dyDescent="0.3">
      <c r="A25" s="17">
        <v>2</v>
      </c>
      <c r="B25" s="18">
        <v>89467224</v>
      </c>
      <c r="C25" s="18">
        <v>7803.8344699999998</v>
      </c>
      <c r="D25" s="19">
        <v>1.1719999999999999</v>
      </c>
      <c r="E25" s="19">
        <v>21.19</v>
      </c>
    </row>
    <row r="26" spans="1:6" ht="16.5" customHeight="1" x14ac:dyDescent="0.3">
      <c r="A26" s="17">
        <v>3</v>
      </c>
      <c r="B26" s="18">
        <v>89563451</v>
      </c>
      <c r="C26" s="18">
        <v>7885.4199200000003</v>
      </c>
      <c r="D26" s="19">
        <v>1.169</v>
      </c>
      <c r="E26" s="19">
        <v>21.19</v>
      </c>
    </row>
    <row r="27" spans="1:6" ht="16.5" customHeight="1" x14ac:dyDescent="0.3">
      <c r="A27" s="17">
        <v>4</v>
      </c>
      <c r="B27" s="18">
        <v>89252472</v>
      </c>
      <c r="C27" s="18">
        <v>7959.6572299999998</v>
      </c>
      <c r="D27" s="19">
        <v>1.171</v>
      </c>
      <c r="E27" s="19">
        <v>21.195</v>
      </c>
    </row>
    <row r="28" spans="1:6" ht="16.5" customHeight="1" x14ac:dyDescent="0.3">
      <c r="A28" s="17">
        <v>5</v>
      </c>
      <c r="B28" s="18">
        <v>89358727</v>
      </c>
      <c r="C28" s="18">
        <v>8003.9003899999998</v>
      </c>
      <c r="D28" s="19">
        <v>1.167</v>
      </c>
      <c r="E28" s="19">
        <v>21.184999999999999</v>
      </c>
    </row>
    <row r="29" spans="1:6" ht="16.5" customHeight="1" x14ac:dyDescent="0.3">
      <c r="A29" s="17">
        <v>6</v>
      </c>
      <c r="B29" s="21">
        <v>89517853</v>
      </c>
      <c r="C29" s="21">
        <v>8067.4067400000004</v>
      </c>
      <c r="D29" s="22">
        <v>1.163</v>
      </c>
      <c r="E29" s="22">
        <v>21.164999999999999</v>
      </c>
    </row>
    <row r="30" spans="1:6" ht="16.5" customHeight="1" x14ac:dyDescent="0.3">
      <c r="A30" s="23" t="s">
        <v>16</v>
      </c>
      <c r="B30" s="24">
        <f>AVERAGE(B24:B29)</f>
        <v>89415501.333333328</v>
      </c>
      <c r="C30" s="25">
        <f>AVERAGE(C24:C29)</f>
        <v>7906.1725266666663</v>
      </c>
      <c r="D30" s="26">
        <f>AVERAGE(D24:D29)</f>
        <v>1.1693583333333333</v>
      </c>
      <c r="E30" s="26">
        <f>AVERAGE(E24:E29)</f>
        <v>21.188999999999997</v>
      </c>
    </row>
    <row r="31" spans="1:6" ht="16.5" customHeight="1" x14ac:dyDescent="0.3">
      <c r="A31" s="27" t="s">
        <v>17</v>
      </c>
      <c r="B31" s="28">
        <f>(STDEV(B24:B29)/B30)</f>
        <v>1.338337317796548E-3</v>
      </c>
      <c r="C31" s="29"/>
      <c r="D31" s="29"/>
      <c r="E31" s="30"/>
      <c r="F31" s="2"/>
    </row>
    <row r="32" spans="1:6" s="2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19</v>
      </c>
      <c r="B34" s="37" t="s">
        <v>20</v>
      </c>
      <c r="C34" s="38"/>
      <c r="D34" s="38"/>
      <c r="E34" s="39"/>
    </row>
    <row r="35" spans="1:6" ht="16.5" customHeight="1" x14ac:dyDescent="0.3">
      <c r="A35" s="11"/>
      <c r="B35" s="37" t="s">
        <v>21</v>
      </c>
      <c r="C35" s="38"/>
      <c r="D35" s="38"/>
      <c r="E35" s="39"/>
      <c r="F35" s="2"/>
    </row>
    <row r="36" spans="1:6" ht="16.5" customHeight="1" x14ac:dyDescent="0.3">
      <c r="A36" s="11"/>
      <c r="B36" s="40" t="s">
        <v>22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23</v>
      </c>
    </row>
    <row r="39" spans="1:6" ht="16.5" customHeight="1" x14ac:dyDescent="0.3">
      <c r="A39" s="11" t="s">
        <v>4</v>
      </c>
      <c r="B39" s="12" t="s">
        <v>123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99.4</v>
      </c>
      <c r="C40" s="10"/>
      <c r="D40" s="10"/>
      <c r="E40" s="10"/>
    </row>
    <row r="41" spans="1:6" ht="16.5" customHeight="1" x14ac:dyDescent="0.3">
      <c r="A41" s="7" t="s">
        <v>8</v>
      </c>
      <c r="B41" s="12">
        <v>35.24</v>
      </c>
      <c r="C41" s="10"/>
      <c r="D41" s="10"/>
      <c r="E41" s="10"/>
    </row>
    <row r="42" spans="1:6" ht="16.5" customHeight="1" x14ac:dyDescent="0.3">
      <c r="A42" s="7" t="s">
        <v>9</v>
      </c>
      <c r="B42" s="13">
        <f>35.24/25*2/20</f>
        <v>0.14096000000000003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11</v>
      </c>
      <c r="B44" s="15" t="s">
        <v>12</v>
      </c>
      <c r="C44" s="14" t="s">
        <v>13</v>
      </c>
      <c r="D44" s="14" t="s">
        <v>14</v>
      </c>
      <c r="E44" s="16" t="s">
        <v>15</v>
      </c>
    </row>
    <row r="45" spans="1:6" ht="16.5" customHeight="1" x14ac:dyDescent="0.3">
      <c r="A45" s="17">
        <v>1</v>
      </c>
      <c r="B45" s="18">
        <v>89333281</v>
      </c>
      <c r="C45" s="18">
        <v>7716.8164100000004</v>
      </c>
      <c r="D45" s="19">
        <v>1.17415</v>
      </c>
      <c r="E45" s="20">
        <v>21.209</v>
      </c>
    </row>
    <row r="46" spans="1:6" ht="16.5" customHeight="1" x14ac:dyDescent="0.3">
      <c r="A46" s="17">
        <v>2</v>
      </c>
      <c r="B46" s="18">
        <v>89467224</v>
      </c>
      <c r="C46" s="18">
        <v>7803.8344699999998</v>
      </c>
      <c r="D46" s="19">
        <v>1.1719999999999999</v>
      </c>
      <c r="E46" s="19">
        <v>21.19</v>
      </c>
    </row>
    <row r="47" spans="1:6" ht="16.5" customHeight="1" x14ac:dyDescent="0.3">
      <c r="A47" s="17">
        <v>3</v>
      </c>
      <c r="B47" s="18">
        <v>89563451</v>
      </c>
      <c r="C47" s="18">
        <v>7885.4199200000003</v>
      </c>
      <c r="D47" s="19">
        <v>1.169</v>
      </c>
      <c r="E47" s="19">
        <v>21.19</v>
      </c>
    </row>
    <row r="48" spans="1:6" ht="16.5" customHeight="1" x14ac:dyDescent="0.3">
      <c r="A48" s="17">
        <v>4</v>
      </c>
      <c r="B48" s="18">
        <v>89252472</v>
      </c>
      <c r="C48" s="18">
        <v>7959.6572299999998</v>
      </c>
      <c r="D48" s="19">
        <v>1.171</v>
      </c>
      <c r="E48" s="19">
        <v>21.195</v>
      </c>
    </row>
    <row r="49" spans="1:7" ht="16.5" customHeight="1" x14ac:dyDescent="0.3">
      <c r="A49" s="17">
        <v>5</v>
      </c>
      <c r="B49" s="18">
        <v>89358727</v>
      </c>
      <c r="C49" s="18">
        <v>8003.9003899999998</v>
      </c>
      <c r="D49" s="19">
        <v>1.167</v>
      </c>
      <c r="E49" s="19">
        <v>21.184999999999999</v>
      </c>
    </row>
    <row r="50" spans="1:7" ht="16.5" customHeight="1" x14ac:dyDescent="0.3">
      <c r="A50" s="17">
        <v>6</v>
      </c>
      <c r="B50" s="21">
        <v>89517853</v>
      </c>
      <c r="C50" s="21">
        <v>8067.4067400000004</v>
      </c>
      <c r="D50" s="22">
        <v>1.163</v>
      </c>
      <c r="E50" s="22">
        <v>21.164999999999999</v>
      </c>
    </row>
    <row r="51" spans="1:7" ht="16.5" customHeight="1" x14ac:dyDescent="0.3">
      <c r="A51" s="23" t="s">
        <v>16</v>
      </c>
      <c r="B51" s="24">
        <f>AVERAGE(B45:B50)</f>
        <v>89415501.333333328</v>
      </c>
      <c r="C51" s="25">
        <f>AVERAGE(C45:C50)</f>
        <v>7906.1725266666663</v>
      </c>
      <c r="D51" s="26">
        <f>AVERAGE(D45:D50)</f>
        <v>1.1693583333333333</v>
      </c>
      <c r="E51" s="26">
        <f>AVERAGE(E45:E50)</f>
        <v>21.188999999999997</v>
      </c>
    </row>
    <row r="52" spans="1:7" ht="16.5" customHeight="1" x14ac:dyDescent="0.3">
      <c r="A52" s="27" t="s">
        <v>17</v>
      </c>
      <c r="B52" s="28">
        <f>(STDEV(B45:B50)/B51)</f>
        <v>1.338337317796548E-3</v>
      </c>
      <c r="C52" s="29"/>
      <c r="D52" s="29"/>
      <c r="E52" s="30"/>
      <c r="F52" s="2"/>
    </row>
    <row r="53" spans="1:7" s="2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19</v>
      </c>
      <c r="B55" s="37" t="s">
        <v>20</v>
      </c>
      <c r="C55" s="38"/>
      <c r="D55" s="38"/>
      <c r="E55" s="39"/>
    </row>
    <row r="56" spans="1:7" ht="16.5" customHeight="1" x14ac:dyDescent="0.3">
      <c r="A56" s="11"/>
      <c r="B56" s="37" t="s">
        <v>21</v>
      </c>
      <c r="C56" s="38"/>
      <c r="D56" s="38"/>
      <c r="E56" s="39"/>
      <c r="F56" s="2"/>
    </row>
    <row r="57" spans="1:7" ht="16.5" customHeight="1" x14ac:dyDescent="0.3">
      <c r="A57" s="11"/>
      <c r="B57" s="40" t="s">
        <v>22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415" t="s">
        <v>24</v>
      </c>
      <c r="C59" s="41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8"/>
      <c r="C60" s="48"/>
      <c r="E60" s="48"/>
      <c r="F60" s="2"/>
      <c r="G60" s="49"/>
    </row>
    <row r="61" spans="1:7" ht="15" customHeight="1" x14ac:dyDescent="0.3">
      <c r="A61" s="47" t="s">
        <v>28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19" workbookViewId="0">
      <selection activeCell="B43" sqref="B43"/>
    </sheetView>
  </sheetViews>
  <sheetFormatPr defaultRowHeight="13.5" x14ac:dyDescent="0.25"/>
  <cols>
    <col min="1" max="1" width="27.5703125" style="349" customWidth="1"/>
    <col min="2" max="2" width="20.42578125" style="349" customWidth="1"/>
    <col min="3" max="3" width="31.85546875" style="349" customWidth="1"/>
    <col min="4" max="4" width="25.85546875" style="349" customWidth="1"/>
    <col min="5" max="5" width="25.7109375" style="349" customWidth="1"/>
    <col min="6" max="6" width="23.140625" style="349" customWidth="1"/>
    <col min="7" max="7" width="28.42578125" style="349" customWidth="1"/>
    <col min="8" max="8" width="21.5703125" style="349" customWidth="1"/>
    <col min="9" max="9" width="9.140625" style="349" customWidth="1"/>
    <col min="10" max="16384" width="9.140625" style="44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14" t="s">
        <v>0</v>
      </c>
      <c r="B15" s="414"/>
      <c r="C15" s="414"/>
      <c r="D15" s="414"/>
      <c r="E15" s="414"/>
    </row>
    <row r="16" spans="1:6" ht="16.5" customHeight="1" x14ac:dyDescent="0.3">
      <c r="A16" s="52" t="s">
        <v>1</v>
      </c>
      <c r="B16" s="6" t="s">
        <v>2</v>
      </c>
    </row>
    <row r="17" spans="1:5" ht="16.5" customHeight="1" x14ac:dyDescent="0.3">
      <c r="A17" s="8" t="s">
        <v>3</v>
      </c>
      <c r="B17" s="8" t="s">
        <v>5</v>
      </c>
      <c r="D17" s="9"/>
      <c r="E17" s="53"/>
    </row>
    <row r="18" spans="1:5" ht="16.5" customHeight="1" x14ac:dyDescent="0.3">
      <c r="A18" s="11" t="s">
        <v>4</v>
      </c>
      <c r="B18" s="12" t="s">
        <v>126</v>
      </c>
      <c r="C18" s="53"/>
      <c r="D18" s="53"/>
      <c r="E18" s="53"/>
    </row>
    <row r="19" spans="1:5" ht="16.5" customHeight="1" x14ac:dyDescent="0.3">
      <c r="A19" s="11" t="s">
        <v>6</v>
      </c>
      <c r="B19" s="349">
        <v>99.7</v>
      </c>
      <c r="C19" s="53"/>
      <c r="D19" s="53"/>
      <c r="E19" s="53"/>
    </row>
    <row r="20" spans="1:5" ht="16.5" customHeight="1" x14ac:dyDescent="0.3">
      <c r="A20" s="8" t="s">
        <v>8</v>
      </c>
      <c r="B20" s="12">
        <v>11.84</v>
      </c>
      <c r="C20" s="53"/>
      <c r="D20" s="53"/>
      <c r="E20" s="53"/>
    </row>
    <row r="21" spans="1:5" ht="16.5" customHeight="1" x14ac:dyDescent="0.3">
      <c r="A21" s="8" t="s">
        <v>9</v>
      </c>
      <c r="B21" s="13">
        <f>11.84/25*2/20</f>
        <v>4.7359999999999999E-2</v>
      </c>
      <c r="C21" s="53"/>
      <c r="D21" s="53"/>
      <c r="E21" s="53"/>
    </row>
    <row r="22" spans="1:5" ht="15.75" customHeight="1" x14ac:dyDescent="0.25">
      <c r="A22" s="53"/>
      <c r="B22" s="53" t="s">
        <v>10</v>
      </c>
      <c r="C22" s="53"/>
      <c r="D22" s="53"/>
      <c r="E22" s="53"/>
    </row>
    <row r="23" spans="1:5" ht="16.5" customHeight="1" x14ac:dyDescent="0.3">
      <c r="A23" s="16" t="s">
        <v>11</v>
      </c>
      <c r="B23" s="15" t="s">
        <v>12</v>
      </c>
      <c r="C23" s="16" t="s">
        <v>13</v>
      </c>
      <c r="D23" s="16" t="s">
        <v>14</v>
      </c>
      <c r="E23" s="16" t="s">
        <v>15</v>
      </c>
    </row>
    <row r="24" spans="1:5" ht="16.5" customHeight="1" x14ac:dyDescent="0.3">
      <c r="A24" s="17">
        <v>1</v>
      </c>
      <c r="B24" s="18">
        <v>33315347</v>
      </c>
      <c r="C24" s="18">
        <v>8481.4345699999994</v>
      </c>
      <c r="D24" s="19">
        <v>1.0489999999999999</v>
      </c>
      <c r="E24" s="20">
        <v>8.2170000000000005</v>
      </c>
    </row>
    <row r="25" spans="1:5" ht="16.5" customHeight="1" x14ac:dyDescent="0.3">
      <c r="A25" s="17">
        <v>2</v>
      </c>
      <c r="B25" s="18">
        <v>33347021</v>
      </c>
      <c r="C25" s="18">
        <v>8459.1884800000007</v>
      </c>
      <c r="D25" s="19">
        <v>1.07</v>
      </c>
      <c r="E25" s="19">
        <v>8.2119999999999997</v>
      </c>
    </row>
    <row r="26" spans="1:5" ht="16.5" customHeight="1" x14ac:dyDescent="0.3">
      <c r="A26" s="17">
        <v>3</v>
      </c>
      <c r="B26" s="18">
        <v>33383959</v>
      </c>
      <c r="C26" s="18">
        <v>8519.1162100000001</v>
      </c>
      <c r="D26" s="19">
        <v>1.05</v>
      </c>
      <c r="E26" s="19">
        <v>8.2219999999999995</v>
      </c>
    </row>
    <row r="27" spans="1:5" ht="16.5" customHeight="1" x14ac:dyDescent="0.3">
      <c r="A27" s="17">
        <v>4</v>
      </c>
      <c r="B27" s="18">
        <v>33317529</v>
      </c>
      <c r="C27" s="18">
        <v>8586.0273400000005</v>
      </c>
      <c r="D27" s="19">
        <v>1.0660000000000001</v>
      </c>
      <c r="E27" s="19">
        <v>8.2260000000000009</v>
      </c>
    </row>
    <row r="28" spans="1:5" ht="16.5" customHeight="1" x14ac:dyDescent="0.3">
      <c r="A28" s="17">
        <v>5</v>
      </c>
      <c r="B28" s="18">
        <v>33346399</v>
      </c>
      <c r="C28" s="18">
        <v>8612.8564499999993</v>
      </c>
      <c r="D28" s="19">
        <v>1.0649999999999999</v>
      </c>
      <c r="E28" s="19">
        <v>8.2309999999999999</v>
      </c>
    </row>
    <row r="29" spans="1:5" ht="16.5" customHeight="1" x14ac:dyDescent="0.3">
      <c r="A29" s="17">
        <v>6</v>
      </c>
      <c r="B29" s="21">
        <v>33420114</v>
      </c>
      <c r="C29" s="21">
        <v>8646.13184</v>
      </c>
      <c r="D29" s="22">
        <v>1.06</v>
      </c>
      <c r="E29" s="22">
        <v>8.2260000000000009</v>
      </c>
    </row>
    <row r="30" spans="1:5" ht="16.5" customHeight="1" x14ac:dyDescent="0.3">
      <c r="A30" s="23" t="s">
        <v>16</v>
      </c>
      <c r="B30" s="24">
        <f>AVERAGE(B24:B29)</f>
        <v>33355061.5</v>
      </c>
      <c r="C30" s="25">
        <f>AVERAGE(C24:C29)</f>
        <v>8550.7924816666673</v>
      </c>
      <c r="D30" s="26">
        <f>AVERAGE(D24:D29)</f>
        <v>1.0599999999999998</v>
      </c>
      <c r="E30" s="26">
        <f>AVERAGE(E24:E29)</f>
        <v>8.2223333333333333</v>
      </c>
    </row>
    <row r="31" spans="1:5" ht="16.5" customHeight="1" x14ac:dyDescent="0.3">
      <c r="A31" s="27" t="s">
        <v>17</v>
      </c>
      <c r="B31" s="28">
        <f>(STDEV(B24:B29)/B30)</f>
        <v>1.213561505017294E-3</v>
      </c>
      <c r="C31" s="29"/>
      <c r="D31" s="29"/>
      <c r="E31" s="30"/>
    </row>
    <row r="32" spans="1:5" s="349" customFormat="1" ht="16.5" customHeight="1" x14ac:dyDescent="0.3">
      <c r="A32" s="31" t="s">
        <v>18</v>
      </c>
      <c r="B32" s="32">
        <f>COUNT(B24:B29)</f>
        <v>6</v>
      </c>
      <c r="C32" s="33"/>
      <c r="D32" s="34"/>
      <c r="E32" s="35"/>
    </row>
    <row r="33" spans="1:5" s="349" customFormat="1" ht="15.75" customHeight="1" x14ac:dyDescent="0.25">
      <c r="A33" s="53"/>
      <c r="B33" s="53"/>
      <c r="C33" s="53"/>
      <c r="D33" s="53"/>
      <c r="E33" s="53"/>
    </row>
    <row r="34" spans="1:5" s="349" customFormat="1" ht="16.5" customHeight="1" x14ac:dyDescent="0.3">
      <c r="A34" s="11" t="s">
        <v>19</v>
      </c>
      <c r="B34" s="40" t="s">
        <v>20</v>
      </c>
      <c r="C34" s="39"/>
      <c r="D34" s="39"/>
      <c r="E34" s="39"/>
    </row>
    <row r="35" spans="1:5" ht="16.5" customHeight="1" x14ac:dyDescent="0.3">
      <c r="A35" s="11"/>
      <c r="B35" s="40" t="s">
        <v>21</v>
      </c>
      <c r="C35" s="39"/>
      <c r="D35" s="39"/>
      <c r="E35" s="39"/>
    </row>
    <row r="36" spans="1:5" ht="16.5" customHeight="1" x14ac:dyDescent="0.3">
      <c r="A36" s="11"/>
      <c r="B36" s="40" t="s">
        <v>22</v>
      </c>
      <c r="C36" s="39"/>
      <c r="D36" s="39"/>
      <c r="E36" s="39"/>
    </row>
    <row r="37" spans="1:5" ht="15.75" customHeight="1" x14ac:dyDescent="0.25">
      <c r="A37" s="53"/>
      <c r="B37" s="53"/>
      <c r="C37" s="53"/>
      <c r="D37" s="53"/>
      <c r="E37" s="53"/>
    </row>
    <row r="38" spans="1:5" ht="16.5" customHeight="1" x14ac:dyDescent="0.3">
      <c r="A38" s="52" t="s">
        <v>1</v>
      </c>
      <c r="B38" s="6" t="s">
        <v>23</v>
      </c>
    </row>
    <row r="39" spans="1:5" ht="16.5" customHeight="1" x14ac:dyDescent="0.3">
      <c r="A39" s="11" t="s">
        <v>4</v>
      </c>
      <c r="B39" s="12" t="s">
        <v>126</v>
      </c>
      <c r="C39" s="53"/>
      <c r="D39" s="53"/>
      <c r="E39" s="53"/>
    </row>
    <row r="40" spans="1:5" ht="16.5" customHeight="1" x14ac:dyDescent="0.3">
      <c r="A40" s="11" t="s">
        <v>6</v>
      </c>
      <c r="B40" s="12">
        <v>99.7</v>
      </c>
      <c r="C40" s="53"/>
      <c r="D40" s="53"/>
      <c r="E40" s="53"/>
    </row>
    <row r="41" spans="1:5" ht="16.5" customHeight="1" x14ac:dyDescent="0.3">
      <c r="A41" s="8" t="s">
        <v>8</v>
      </c>
      <c r="B41" s="12">
        <v>11.84</v>
      </c>
      <c r="C41" s="53"/>
      <c r="D41" s="53"/>
      <c r="E41" s="53"/>
    </row>
    <row r="42" spans="1:5" ht="16.5" customHeight="1" x14ac:dyDescent="0.3">
      <c r="A42" s="8" t="s">
        <v>9</v>
      </c>
      <c r="B42" s="13">
        <f>B21</f>
        <v>4.7359999999999999E-2</v>
      </c>
      <c r="C42" s="53"/>
      <c r="D42" s="53"/>
      <c r="E42" s="53"/>
    </row>
    <row r="43" spans="1:5" ht="15.75" customHeight="1" x14ac:dyDescent="0.25">
      <c r="A43" s="53"/>
      <c r="B43" s="53"/>
      <c r="C43" s="53"/>
      <c r="D43" s="53"/>
      <c r="E43" s="53"/>
    </row>
    <row r="44" spans="1:5" ht="16.5" customHeight="1" x14ac:dyDescent="0.3">
      <c r="A44" s="16" t="s">
        <v>11</v>
      </c>
      <c r="B44" s="15" t="s">
        <v>12</v>
      </c>
      <c r="C44" s="16" t="s">
        <v>13</v>
      </c>
      <c r="D44" s="16" t="s">
        <v>14</v>
      </c>
      <c r="E44" s="16" t="s">
        <v>15</v>
      </c>
    </row>
    <row r="45" spans="1:5" ht="16.5" customHeight="1" x14ac:dyDescent="0.3">
      <c r="A45" s="17">
        <v>1</v>
      </c>
      <c r="B45" s="18">
        <v>33315347</v>
      </c>
      <c r="C45" s="18">
        <v>8481.4345699999994</v>
      </c>
      <c r="D45" s="19">
        <v>1.0489999999999999</v>
      </c>
      <c r="E45" s="20">
        <v>8.2170000000000005</v>
      </c>
    </row>
    <row r="46" spans="1:5" ht="16.5" customHeight="1" x14ac:dyDescent="0.3">
      <c r="A46" s="17">
        <v>2</v>
      </c>
      <c r="B46" s="18">
        <v>33347021</v>
      </c>
      <c r="C46" s="18">
        <v>8459.1884800000007</v>
      </c>
      <c r="D46" s="19">
        <v>1.07</v>
      </c>
      <c r="E46" s="19">
        <v>8.2119999999999997</v>
      </c>
    </row>
    <row r="47" spans="1:5" ht="16.5" customHeight="1" x14ac:dyDescent="0.3">
      <c r="A47" s="17">
        <v>3</v>
      </c>
      <c r="B47" s="18">
        <v>33383959</v>
      </c>
      <c r="C47" s="18">
        <v>8519.1162100000001</v>
      </c>
      <c r="D47" s="19">
        <v>1.05</v>
      </c>
      <c r="E47" s="19">
        <v>8.2219999999999995</v>
      </c>
    </row>
    <row r="48" spans="1:5" ht="16.5" customHeight="1" x14ac:dyDescent="0.3">
      <c r="A48" s="17">
        <v>4</v>
      </c>
      <c r="B48" s="18">
        <v>33317529</v>
      </c>
      <c r="C48" s="18">
        <v>8586.0273400000005</v>
      </c>
      <c r="D48" s="19">
        <v>1.0660000000000001</v>
      </c>
      <c r="E48" s="19">
        <v>8.2260000000000009</v>
      </c>
    </row>
    <row r="49" spans="1:7" ht="16.5" customHeight="1" x14ac:dyDescent="0.3">
      <c r="A49" s="17">
        <v>5</v>
      </c>
      <c r="B49" s="18">
        <v>33346399</v>
      </c>
      <c r="C49" s="18">
        <v>8612.8564499999993</v>
      </c>
      <c r="D49" s="19">
        <v>1.0649999999999999</v>
      </c>
      <c r="E49" s="19">
        <v>8.2309999999999999</v>
      </c>
    </row>
    <row r="50" spans="1:7" ht="16.5" customHeight="1" x14ac:dyDescent="0.3">
      <c r="A50" s="17">
        <v>6</v>
      </c>
      <c r="B50" s="21">
        <v>33420114</v>
      </c>
      <c r="C50" s="21">
        <v>8646.13184</v>
      </c>
      <c r="D50" s="22">
        <v>1.06</v>
      </c>
      <c r="E50" s="22">
        <v>8.2260000000000009</v>
      </c>
    </row>
    <row r="51" spans="1:7" ht="16.5" customHeight="1" x14ac:dyDescent="0.3">
      <c r="A51" s="23" t="s">
        <v>16</v>
      </c>
      <c r="B51" s="24">
        <f>AVERAGE(B45:B50)</f>
        <v>33355061.5</v>
      </c>
      <c r="C51" s="25">
        <f>AVERAGE(C45:C50)</f>
        <v>8550.7924816666673</v>
      </c>
      <c r="D51" s="26">
        <f>AVERAGE(D45:D50)</f>
        <v>1.0599999999999998</v>
      </c>
      <c r="E51" s="26">
        <f>AVERAGE(E45:E50)</f>
        <v>8.2223333333333333</v>
      </c>
    </row>
    <row r="52" spans="1:7" ht="16.5" customHeight="1" x14ac:dyDescent="0.3">
      <c r="A52" s="27" t="s">
        <v>17</v>
      </c>
      <c r="B52" s="28">
        <f>(STDEV(B45:B50)/B51)</f>
        <v>1.213561505017294E-3</v>
      </c>
      <c r="C52" s="29"/>
      <c r="D52" s="29"/>
      <c r="E52" s="30"/>
    </row>
    <row r="53" spans="1:7" s="349" customFormat="1" ht="16.5" customHeight="1" x14ac:dyDescent="0.3">
      <c r="A53" s="31" t="s">
        <v>18</v>
      </c>
      <c r="B53" s="32">
        <f>COUNT(B45:B50)</f>
        <v>6</v>
      </c>
      <c r="C53" s="33"/>
      <c r="D53" s="34"/>
      <c r="E53" s="35"/>
    </row>
    <row r="54" spans="1:7" s="349" customFormat="1" ht="15.75" customHeight="1" x14ac:dyDescent="0.25">
      <c r="A54" s="53"/>
      <c r="B54" s="53"/>
      <c r="C54" s="53"/>
      <c r="D54" s="53"/>
      <c r="E54" s="53"/>
    </row>
    <row r="55" spans="1:7" s="349" customFormat="1" ht="16.5" customHeight="1" x14ac:dyDescent="0.3">
      <c r="A55" s="11" t="s">
        <v>19</v>
      </c>
      <c r="B55" s="40" t="s">
        <v>20</v>
      </c>
      <c r="C55" s="39"/>
      <c r="D55" s="39"/>
      <c r="E55" s="39"/>
    </row>
    <row r="56" spans="1:7" ht="16.5" customHeight="1" x14ac:dyDescent="0.3">
      <c r="A56" s="11"/>
      <c r="B56" s="40" t="s">
        <v>21</v>
      </c>
      <c r="C56" s="39"/>
      <c r="D56" s="39"/>
      <c r="E56" s="39"/>
    </row>
    <row r="57" spans="1:7" ht="16.5" customHeight="1" x14ac:dyDescent="0.3">
      <c r="A57" s="11"/>
      <c r="B57" s="40" t="s">
        <v>22</v>
      </c>
      <c r="C57" s="39"/>
      <c r="D57" s="39"/>
      <c r="E57" s="39"/>
    </row>
    <row r="58" spans="1:7" ht="14.25" customHeight="1" thickBot="1" x14ac:dyDescent="0.3">
      <c r="A58" s="41"/>
      <c r="B58" s="350"/>
      <c r="D58" s="43"/>
      <c r="F58" s="44"/>
      <c r="G58" s="44"/>
    </row>
    <row r="59" spans="1:7" ht="15" customHeight="1" x14ac:dyDescent="0.3">
      <c r="B59" s="415" t="s">
        <v>24</v>
      </c>
      <c r="C59" s="415"/>
      <c r="E59" s="45" t="s">
        <v>25</v>
      </c>
      <c r="F59" s="46"/>
      <c r="G59" s="45" t="s">
        <v>26</v>
      </c>
    </row>
    <row r="60" spans="1:7" ht="15" customHeight="1" x14ac:dyDescent="0.3">
      <c r="A60" s="47" t="s">
        <v>27</v>
      </c>
      <c r="B60" s="49"/>
      <c r="C60" s="49"/>
      <c r="E60" s="49"/>
      <c r="G60" s="49"/>
    </row>
    <row r="61" spans="1:7" ht="15" customHeight="1" x14ac:dyDescent="0.3">
      <c r="A61" s="47" t="s">
        <v>28</v>
      </c>
      <c r="B61" s="50"/>
      <c r="C61" s="50"/>
      <c r="E61" s="50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Layout" topLeftCell="A12" zoomScale="55" zoomScaleNormal="75" zoomScalePageLayoutView="55" workbookViewId="0">
      <selection activeCell="B18" sqref="B18:C23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16" t="s">
        <v>29</v>
      </c>
      <c r="B1" s="416"/>
      <c r="C1" s="416"/>
      <c r="D1" s="416"/>
      <c r="E1" s="416"/>
      <c r="F1" s="416"/>
      <c r="G1" s="416"/>
      <c r="H1" s="416"/>
    </row>
    <row r="2" spans="1:8" x14ac:dyDescent="0.25">
      <c r="A2" s="416"/>
      <c r="B2" s="416"/>
      <c r="C2" s="416"/>
      <c r="D2" s="416"/>
      <c r="E2" s="416"/>
      <c r="F2" s="416"/>
      <c r="G2" s="416"/>
      <c r="H2" s="416"/>
    </row>
    <row r="3" spans="1:8" x14ac:dyDescent="0.25">
      <c r="A3" s="416"/>
      <c r="B3" s="416"/>
      <c r="C3" s="416"/>
      <c r="D3" s="416"/>
      <c r="E3" s="416"/>
      <c r="F3" s="416"/>
      <c r="G3" s="416"/>
      <c r="H3" s="416"/>
    </row>
    <row r="4" spans="1:8" x14ac:dyDescent="0.25">
      <c r="A4" s="416"/>
      <c r="B4" s="416"/>
      <c r="C4" s="416"/>
      <c r="D4" s="416"/>
      <c r="E4" s="416"/>
      <c r="F4" s="416"/>
      <c r="G4" s="416"/>
      <c r="H4" s="416"/>
    </row>
    <row r="5" spans="1:8" x14ac:dyDescent="0.25">
      <c r="A5" s="416"/>
      <c r="B5" s="416"/>
      <c r="C5" s="416"/>
      <c r="D5" s="416"/>
      <c r="E5" s="416"/>
      <c r="F5" s="416"/>
      <c r="G5" s="416"/>
      <c r="H5" s="416"/>
    </row>
    <row r="6" spans="1:8" x14ac:dyDescent="0.25">
      <c r="A6" s="416"/>
      <c r="B6" s="416"/>
      <c r="C6" s="416"/>
      <c r="D6" s="416"/>
      <c r="E6" s="416"/>
      <c r="F6" s="416"/>
      <c r="G6" s="416"/>
      <c r="H6" s="416"/>
    </row>
    <row r="7" spans="1:8" x14ac:dyDescent="0.25">
      <c r="A7" s="416"/>
      <c r="B7" s="416"/>
      <c r="C7" s="416"/>
      <c r="D7" s="416"/>
      <c r="E7" s="416"/>
      <c r="F7" s="416"/>
      <c r="G7" s="416"/>
      <c r="H7" s="416"/>
    </row>
    <row r="8" spans="1:8" x14ac:dyDescent="0.25">
      <c r="A8" s="417" t="s">
        <v>30</v>
      </c>
      <c r="B8" s="417"/>
      <c r="C8" s="417"/>
      <c r="D8" s="417"/>
      <c r="E8" s="417"/>
      <c r="F8" s="417"/>
      <c r="G8" s="417"/>
      <c r="H8" s="417"/>
    </row>
    <row r="9" spans="1:8" x14ac:dyDescent="0.25">
      <c r="A9" s="417"/>
      <c r="B9" s="417"/>
      <c r="C9" s="417"/>
      <c r="D9" s="417"/>
      <c r="E9" s="417"/>
      <c r="F9" s="417"/>
      <c r="G9" s="417"/>
      <c r="H9" s="417"/>
    </row>
    <row r="10" spans="1:8" x14ac:dyDescent="0.25">
      <c r="A10" s="417"/>
      <c r="B10" s="417"/>
      <c r="C10" s="417"/>
      <c r="D10" s="417"/>
      <c r="E10" s="417"/>
      <c r="F10" s="417"/>
      <c r="G10" s="417"/>
      <c r="H10" s="417"/>
    </row>
    <row r="11" spans="1:8" x14ac:dyDescent="0.25">
      <c r="A11" s="417"/>
      <c r="B11" s="417"/>
      <c r="C11" s="417"/>
      <c r="D11" s="417"/>
      <c r="E11" s="417"/>
      <c r="F11" s="417"/>
      <c r="G11" s="417"/>
      <c r="H11" s="417"/>
    </row>
    <row r="12" spans="1:8" x14ac:dyDescent="0.25">
      <c r="A12" s="417"/>
      <c r="B12" s="417"/>
      <c r="C12" s="417"/>
      <c r="D12" s="417"/>
      <c r="E12" s="417"/>
      <c r="F12" s="417"/>
      <c r="G12" s="417"/>
      <c r="H12" s="417"/>
    </row>
    <row r="13" spans="1:8" x14ac:dyDescent="0.25">
      <c r="A13" s="417"/>
      <c r="B13" s="417"/>
      <c r="C13" s="417"/>
      <c r="D13" s="417"/>
      <c r="E13" s="417"/>
      <c r="F13" s="417"/>
      <c r="G13" s="417"/>
      <c r="H13" s="417"/>
    </row>
    <row r="14" spans="1:8" x14ac:dyDescent="0.25">
      <c r="A14" s="417"/>
      <c r="B14" s="417"/>
      <c r="C14" s="417"/>
      <c r="D14" s="417"/>
      <c r="E14" s="417"/>
      <c r="F14" s="417"/>
      <c r="G14" s="417"/>
      <c r="H14" s="417"/>
    </row>
    <row r="15" spans="1:8" ht="19.5" customHeight="1" x14ac:dyDescent="0.25"/>
    <row r="16" spans="1:8" ht="19.5" customHeight="1" x14ac:dyDescent="0.25">
      <c r="A16" s="447" t="s">
        <v>31</v>
      </c>
      <c r="B16" s="448"/>
      <c r="C16" s="448"/>
      <c r="D16" s="448"/>
      <c r="E16" s="448"/>
      <c r="F16" s="448"/>
      <c r="G16" s="448"/>
      <c r="H16" s="449"/>
    </row>
    <row r="17" spans="1:13" ht="18.75" x14ac:dyDescent="0.3">
      <c r="A17" s="54" t="s">
        <v>32</v>
      </c>
      <c r="B17" s="54"/>
    </row>
    <row r="18" spans="1:13" ht="18.75" x14ac:dyDescent="0.3">
      <c r="A18" s="56" t="s">
        <v>33</v>
      </c>
      <c r="B18" s="450" t="s">
        <v>127</v>
      </c>
      <c r="C18" s="450"/>
      <c r="D18" s="147"/>
      <c r="E18" s="147"/>
    </row>
    <row r="19" spans="1:13" ht="18.75" x14ac:dyDescent="0.3">
      <c r="A19" s="56" t="s">
        <v>34</v>
      </c>
      <c r="B19" s="148" t="s">
        <v>7</v>
      </c>
      <c r="C19" s="232">
        <v>15</v>
      </c>
    </row>
    <row r="20" spans="1:13" ht="18.75" x14ac:dyDescent="0.3">
      <c r="A20" s="56" t="s">
        <v>35</v>
      </c>
      <c r="B20" s="148" t="s">
        <v>128</v>
      </c>
    </row>
    <row r="21" spans="1:13" ht="18.75" x14ac:dyDescent="0.3">
      <c r="A21" s="56" t="s">
        <v>36</v>
      </c>
      <c r="B21" s="173" t="s">
        <v>129</v>
      </c>
      <c r="C21" s="173"/>
      <c r="D21" s="173"/>
      <c r="E21" s="173"/>
      <c r="F21" s="173"/>
      <c r="G21" s="173"/>
      <c r="H21" s="173"/>
    </row>
    <row r="22" spans="1:13" ht="18.75" x14ac:dyDescent="0.3">
      <c r="A22" s="56" t="s">
        <v>37</v>
      </c>
      <c r="B22" s="149" t="s">
        <v>130</v>
      </c>
    </row>
    <row r="23" spans="1:13" ht="18.75" x14ac:dyDescent="0.3">
      <c r="A23" s="56" t="s">
        <v>38</v>
      </c>
      <c r="B23" s="149" t="s">
        <v>131</v>
      </c>
    </row>
    <row r="24" spans="1:13" ht="18.75" x14ac:dyDescent="0.3">
      <c r="A24" s="56"/>
      <c r="B24" s="59"/>
    </row>
    <row r="25" spans="1:13" ht="18.75" x14ac:dyDescent="0.3">
      <c r="A25" s="60" t="s">
        <v>1</v>
      </c>
      <c r="B25" s="59"/>
    </row>
    <row r="26" spans="1:13" ht="26.25" customHeight="1" x14ac:dyDescent="0.4">
      <c r="A26" s="61" t="s">
        <v>4</v>
      </c>
      <c r="B26" s="430" t="s">
        <v>124</v>
      </c>
      <c r="C26" s="430"/>
    </row>
    <row r="27" spans="1:13" ht="26.25" customHeight="1" x14ac:dyDescent="0.4">
      <c r="A27" s="63" t="s">
        <v>39</v>
      </c>
      <c r="B27" s="202" t="s">
        <v>125</v>
      </c>
    </row>
    <row r="28" spans="1:13" ht="27" customHeight="1" x14ac:dyDescent="0.4">
      <c r="A28" s="63" t="s">
        <v>6</v>
      </c>
      <c r="B28" s="203">
        <v>99.4</v>
      </c>
    </row>
    <row r="29" spans="1:13" s="11" customFormat="1" ht="27" customHeight="1" x14ac:dyDescent="0.4">
      <c r="A29" s="63" t="s">
        <v>40</v>
      </c>
      <c r="B29" s="202">
        <v>0</v>
      </c>
      <c r="C29" s="431" t="s">
        <v>78</v>
      </c>
      <c r="D29" s="432"/>
      <c r="E29" s="432"/>
      <c r="F29" s="432"/>
      <c r="G29" s="433"/>
      <c r="I29" s="65"/>
      <c r="J29" s="65"/>
      <c r="K29" s="65"/>
    </row>
    <row r="30" spans="1:13" s="11" customFormat="1" ht="19.5" customHeight="1" x14ac:dyDescent="0.3">
      <c r="A30" s="63" t="s">
        <v>41</v>
      </c>
      <c r="B30" s="62">
        <f>B28-B29</f>
        <v>99.4</v>
      </c>
      <c r="C30" s="66"/>
      <c r="D30" s="66"/>
      <c r="E30" s="66"/>
      <c r="F30" s="66"/>
      <c r="G30" s="67"/>
      <c r="I30" s="65"/>
      <c r="J30" s="65"/>
      <c r="K30" s="65"/>
    </row>
    <row r="31" spans="1:13" s="11" customFormat="1" ht="27" customHeight="1" x14ac:dyDescent="0.4">
      <c r="A31" s="63" t="s">
        <v>42</v>
      </c>
      <c r="B31" s="384">
        <v>286.33</v>
      </c>
      <c r="C31" s="419" t="s">
        <v>43</v>
      </c>
      <c r="D31" s="420"/>
      <c r="E31" s="420"/>
      <c r="F31" s="420"/>
      <c r="G31" s="420"/>
      <c r="H31" s="434"/>
      <c r="I31" s="65"/>
      <c r="J31" s="65"/>
      <c r="K31" s="65"/>
    </row>
    <row r="32" spans="1:13" s="11" customFormat="1" ht="27" customHeight="1" x14ac:dyDescent="0.4">
      <c r="A32" s="63" t="s">
        <v>44</v>
      </c>
      <c r="B32" s="384">
        <v>335.37</v>
      </c>
      <c r="C32" s="419" t="s">
        <v>45</v>
      </c>
      <c r="D32" s="420"/>
      <c r="E32" s="420"/>
      <c r="F32" s="420"/>
      <c r="G32" s="420"/>
      <c r="H32" s="434"/>
      <c r="I32" s="65"/>
      <c r="J32" s="65"/>
      <c r="K32" s="69"/>
      <c r="L32" s="69"/>
      <c r="M32" s="70"/>
    </row>
    <row r="33" spans="1:13" s="11" customFormat="1" ht="17.25" customHeight="1" x14ac:dyDescent="0.3">
      <c r="A33" s="63"/>
      <c r="B33" s="68"/>
      <c r="C33" s="71"/>
      <c r="D33" s="71"/>
      <c r="E33" s="71"/>
      <c r="F33" s="71"/>
      <c r="G33" s="71"/>
      <c r="H33" s="71"/>
      <c r="I33" s="65"/>
      <c r="J33" s="65"/>
      <c r="K33" s="69"/>
      <c r="L33" s="69"/>
      <c r="M33" s="70"/>
    </row>
    <row r="34" spans="1:13" s="11" customFormat="1" ht="18.75" x14ac:dyDescent="0.3">
      <c r="A34" s="63" t="s">
        <v>46</v>
      </c>
      <c r="B34" s="72">
        <f>B31/B32</f>
        <v>0.8537734442555982</v>
      </c>
      <c r="C34" s="55" t="s">
        <v>47</v>
      </c>
      <c r="D34" s="55"/>
      <c r="E34" s="55"/>
      <c r="F34" s="55"/>
      <c r="G34" s="55"/>
      <c r="I34" s="65"/>
      <c r="J34" s="65"/>
      <c r="K34" s="69"/>
      <c r="L34" s="69"/>
      <c r="M34" s="70"/>
    </row>
    <row r="35" spans="1:13" s="11" customFormat="1" ht="19.5" customHeight="1" x14ac:dyDescent="0.3">
      <c r="A35" s="63"/>
      <c r="B35" s="62"/>
      <c r="G35" s="55"/>
      <c r="I35" s="65"/>
      <c r="J35" s="65"/>
      <c r="K35" s="69"/>
      <c r="L35" s="69"/>
      <c r="M35" s="70"/>
    </row>
    <row r="36" spans="1:13" s="11" customFormat="1" ht="27" customHeight="1" x14ac:dyDescent="0.4">
      <c r="A36" s="73" t="s">
        <v>94</v>
      </c>
      <c r="B36" s="205">
        <v>25</v>
      </c>
      <c r="C36" s="55"/>
      <c r="D36" s="421" t="s">
        <v>48</v>
      </c>
      <c r="E36" s="435"/>
      <c r="F36" s="421" t="s">
        <v>49</v>
      </c>
      <c r="G36" s="422"/>
      <c r="I36" s="65"/>
      <c r="J36" s="65"/>
      <c r="K36" s="69"/>
      <c r="L36" s="69"/>
      <c r="M36" s="70"/>
    </row>
    <row r="37" spans="1:13" s="11" customFormat="1" ht="26.25" customHeight="1" x14ac:dyDescent="0.4">
      <c r="A37" s="74" t="s">
        <v>50</v>
      </c>
      <c r="B37" s="206">
        <v>2</v>
      </c>
      <c r="C37" s="76" t="s">
        <v>95</v>
      </c>
      <c r="D37" s="77" t="s">
        <v>52</v>
      </c>
      <c r="E37" s="134" t="s">
        <v>53</v>
      </c>
      <c r="F37" s="77" t="s">
        <v>52</v>
      </c>
      <c r="G37" s="78" t="s">
        <v>53</v>
      </c>
      <c r="I37" s="65"/>
      <c r="J37" s="65"/>
      <c r="K37" s="69"/>
      <c r="L37" s="69"/>
      <c r="M37" s="70"/>
    </row>
    <row r="38" spans="1:13" s="11" customFormat="1" ht="26.25" customHeight="1" x14ac:dyDescent="0.4">
      <c r="A38" s="74" t="s">
        <v>54</v>
      </c>
      <c r="B38" s="206">
        <v>20</v>
      </c>
      <c r="C38" s="79">
        <v>1</v>
      </c>
      <c r="D38" s="207">
        <v>89386804</v>
      </c>
      <c r="E38" s="150">
        <f>IF(ISBLANK(D38),"-",$D$48/$D$45*D38)</f>
        <v>104610800.95553982</v>
      </c>
      <c r="F38" s="207">
        <v>91682553</v>
      </c>
      <c r="G38" s="153">
        <f>IF(ISBLANK(F38),"-",$D$48/$F$45*F38)</f>
        <v>106272224.65561125</v>
      </c>
      <c r="I38" s="65"/>
      <c r="J38" s="65"/>
      <c r="K38" s="69"/>
      <c r="L38" s="69"/>
      <c r="M38" s="70"/>
    </row>
    <row r="39" spans="1:13" s="11" customFormat="1" ht="26.25" customHeight="1" x14ac:dyDescent="0.4">
      <c r="A39" s="74" t="s">
        <v>55</v>
      </c>
      <c r="B39" s="206">
        <v>1</v>
      </c>
      <c r="C39" s="75">
        <v>2</v>
      </c>
      <c r="D39" s="208">
        <v>89337780</v>
      </c>
      <c r="E39" s="151">
        <f>IF(ISBLANK(D39),"-",$D$48/$D$45*D39)</f>
        <v>104553427.38722156</v>
      </c>
      <c r="F39" s="208">
        <v>91914594</v>
      </c>
      <c r="G39" s="154">
        <f>IF(ISBLANK(F39),"-",$D$48/$F$45*F39)</f>
        <v>106541190.91445127</v>
      </c>
      <c r="I39" s="65"/>
      <c r="J39" s="65"/>
      <c r="K39" s="69"/>
      <c r="L39" s="69"/>
      <c r="M39" s="70"/>
    </row>
    <row r="40" spans="1:13" ht="26.25" customHeight="1" x14ac:dyDescent="0.4">
      <c r="A40" s="74" t="s">
        <v>56</v>
      </c>
      <c r="B40" s="206">
        <v>1</v>
      </c>
      <c r="C40" s="75">
        <v>3</v>
      </c>
      <c r="D40" s="208">
        <v>89332897</v>
      </c>
      <c r="E40" s="151">
        <f>IF(ISBLANK(D40),"-",$D$48/$D$45*D40)</f>
        <v>104547712.73451884</v>
      </c>
      <c r="F40" s="208">
        <v>91838921</v>
      </c>
      <c r="G40" s="154">
        <f>IF(ISBLANK(F40),"-",$D$48/$F$45*F40)</f>
        <v>106453475.88260259</v>
      </c>
      <c r="K40" s="69"/>
      <c r="L40" s="69"/>
      <c r="M40" s="81"/>
    </row>
    <row r="41" spans="1:13" ht="26.25" customHeight="1" x14ac:dyDescent="0.4">
      <c r="A41" s="74" t="s">
        <v>57</v>
      </c>
      <c r="B41" s="206">
        <v>1</v>
      </c>
      <c r="C41" s="82">
        <v>4</v>
      </c>
      <c r="D41" s="209"/>
      <c r="E41" s="152" t="str">
        <f>IF(ISBLANK(D41),"-",$D$48/$D$45*D41)</f>
        <v>-</v>
      </c>
      <c r="F41" s="209"/>
      <c r="G41" s="155" t="str">
        <f>IF(ISBLANK(F41),"-",$D$48/$F$45*F41)</f>
        <v>-</v>
      </c>
      <c r="K41" s="69"/>
      <c r="L41" s="69"/>
      <c r="M41" s="81"/>
    </row>
    <row r="42" spans="1:13" ht="27" customHeight="1" x14ac:dyDescent="0.4">
      <c r="A42" s="74" t="s">
        <v>58</v>
      </c>
      <c r="B42" s="206">
        <v>1</v>
      </c>
      <c r="C42" s="84" t="s">
        <v>59</v>
      </c>
      <c r="D42" s="184">
        <f>AVERAGE(D38:D41)</f>
        <v>89352493.666666672</v>
      </c>
      <c r="E42" s="109">
        <f>AVERAGE(E38:E41)</f>
        <v>104570647.02576007</v>
      </c>
      <c r="F42" s="85">
        <f>AVERAGE(F38:F41)</f>
        <v>91812022.666666672</v>
      </c>
      <c r="G42" s="86">
        <f>AVERAGE(G38:G41)</f>
        <v>106422297.15088837</v>
      </c>
      <c r="H42" s="170"/>
    </row>
    <row r="43" spans="1:13" ht="26.25" customHeight="1" x14ac:dyDescent="0.4">
      <c r="A43" s="74" t="s">
        <v>60</v>
      </c>
      <c r="B43" s="203">
        <v>1</v>
      </c>
      <c r="C43" s="185" t="s">
        <v>61</v>
      </c>
      <c r="D43" s="210">
        <v>35.24</v>
      </c>
      <c r="E43" s="81"/>
      <c r="F43" s="211">
        <v>35.58</v>
      </c>
      <c r="H43" s="170"/>
    </row>
    <row r="44" spans="1:13" ht="26.25" customHeight="1" x14ac:dyDescent="0.4">
      <c r="A44" s="74" t="s">
        <v>62</v>
      </c>
      <c r="B44" s="203">
        <v>1</v>
      </c>
      <c r="C44" s="186" t="s">
        <v>63</v>
      </c>
      <c r="D44" s="187">
        <f>D43*$B$34</f>
        <v>30.086976175567283</v>
      </c>
      <c r="E44" s="88"/>
      <c r="F44" s="87">
        <f>F43*$B$34</f>
        <v>30.377259146614183</v>
      </c>
      <c r="H44" s="170"/>
    </row>
    <row r="45" spans="1:13" ht="19.5" customHeight="1" x14ac:dyDescent="0.3">
      <c r="A45" s="74" t="s">
        <v>64</v>
      </c>
      <c r="B45" s="183">
        <f>(B44/B43)*(B42/B41)*(B40/B39)*(B38/B37)*B36</f>
        <v>250</v>
      </c>
      <c r="C45" s="186" t="s">
        <v>65</v>
      </c>
      <c r="D45" s="188">
        <f>D44*$B$30/100</f>
        <v>29.90645431851388</v>
      </c>
      <c r="E45" s="90"/>
      <c r="F45" s="89">
        <f>F44*$B$30/100</f>
        <v>30.1949955917345</v>
      </c>
      <c r="H45" s="170"/>
    </row>
    <row r="46" spans="1:13" ht="19.5" customHeight="1" x14ac:dyDescent="0.3">
      <c r="A46" s="423" t="s">
        <v>66</v>
      </c>
      <c r="B46" s="428"/>
      <c r="C46" s="186" t="s">
        <v>67</v>
      </c>
      <c r="D46" s="187">
        <f>D45/$B$45</f>
        <v>0.11962581727405552</v>
      </c>
      <c r="E46" s="90"/>
      <c r="F46" s="91">
        <f>F45/$B$45</f>
        <v>0.120779982366938</v>
      </c>
      <c r="H46" s="170"/>
    </row>
    <row r="47" spans="1:13" ht="27" customHeight="1" x14ac:dyDescent="0.4">
      <c r="A47" s="425"/>
      <c r="B47" s="429"/>
      <c r="C47" s="186" t="s">
        <v>68</v>
      </c>
      <c r="D47" s="212">
        <v>0.14000000000000001</v>
      </c>
      <c r="F47" s="93"/>
      <c r="H47" s="170"/>
    </row>
    <row r="48" spans="1:13" ht="18.75" x14ac:dyDescent="0.3">
      <c r="C48" s="186" t="s">
        <v>69</v>
      </c>
      <c r="D48" s="187">
        <f>D47*$B$45</f>
        <v>35</v>
      </c>
      <c r="F48" s="93"/>
      <c r="H48" s="170"/>
    </row>
    <row r="49" spans="1:11" ht="19.5" customHeight="1" x14ac:dyDescent="0.3">
      <c r="C49" s="189" t="s">
        <v>70</v>
      </c>
      <c r="D49" s="190">
        <f>D48/B34</f>
        <v>40.994481891523769</v>
      </c>
      <c r="F49" s="96"/>
      <c r="H49" s="170"/>
    </row>
    <row r="50" spans="1:11" ht="18.75" x14ac:dyDescent="0.3">
      <c r="C50" s="191" t="s">
        <v>71</v>
      </c>
      <c r="D50" s="192">
        <f>AVERAGE(E38:E41,G38:G41)</f>
        <v>105496472.0883242</v>
      </c>
      <c r="F50" s="96"/>
      <c r="H50" s="170"/>
    </row>
    <row r="51" spans="1:11" ht="18.75" x14ac:dyDescent="0.3">
      <c r="C51" s="92" t="s">
        <v>72</v>
      </c>
      <c r="D51" s="97">
        <f>STDEV(E38:E41,G38:G41)/D50</f>
        <v>9.6508749828458067E-3</v>
      </c>
      <c r="F51" s="96"/>
    </row>
    <row r="52" spans="1:11" ht="19.5" customHeight="1" x14ac:dyDescent="0.3">
      <c r="C52" s="94" t="s">
        <v>18</v>
      </c>
      <c r="D52" s="98">
        <f>COUNT(E38:E41,G38:G41)</f>
        <v>6</v>
      </c>
      <c r="F52" s="96"/>
    </row>
    <row r="54" spans="1:11" ht="18.75" x14ac:dyDescent="0.3">
      <c r="A54" s="54" t="s">
        <v>1</v>
      </c>
      <c r="B54" s="99" t="s">
        <v>73</v>
      </c>
    </row>
    <row r="55" spans="1:11" ht="18.75" x14ac:dyDescent="0.3">
      <c r="A55" s="55" t="s">
        <v>74</v>
      </c>
      <c r="B55" s="58" t="str">
        <f>B21</f>
        <v>each film coated tablet contains Abacavir sulphate equivvalent to abacavir 60 mg and Lamivudine USP 30 MG</v>
      </c>
    </row>
    <row r="56" spans="1:11" ht="26.25" customHeight="1" x14ac:dyDescent="0.4">
      <c r="A56" s="57" t="s">
        <v>96</v>
      </c>
      <c r="B56" s="202">
        <v>60</v>
      </c>
      <c r="C56" s="55" t="str">
        <f>B20</f>
        <v xml:space="preserve">ABACAVIR LAMIVUDINE </v>
      </c>
      <c r="H56" s="64"/>
    </row>
    <row r="57" spans="1:11" ht="18.75" x14ac:dyDescent="0.3">
      <c r="A57" s="58" t="s">
        <v>97</v>
      </c>
      <c r="B57" s="233">
        <f>Uniformity!C46</f>
        <v>147.131</v>
      </c>
      <c r="H57" s="64"/>
    </row>
    <row r="58" spans="1:11" ht="19.5" customHeight="1" x14ac:dyDescent="0.3">
      <c r="H58" s="64"/>
    </row>
    <row r="59" spans="1:11" s="11" customFormat="1" ht="27" customHeight="1" x14ac:dyDescent="0.4">
      <c r="A59" s="73" t="s">
        <v>98</v>
      </c>
      <c r="B59" s="205">
        <v>100</v>
      </c>
      <c r="C59" s="55"/>
      <c r="D59" s="101" t="s">
        <v>99</v>
      </c>
      <c r="E59" s="100" t="s">
        <v>51</v>
      </c>
      <c r="F59" s="100" t="s">
        <v>52</v>
      </c>
      <c r="G59" s="100" t="s">
        <v>100</v>
      </c>
      <c r="H59" s="76" t="s">
        <v>101</v>
      </c>
      <c r="K59" s="65"/>
    </row>
    <row r="60" spans="1:11" s="11" customFormat="1" ht="22.5" customHeight="1" x14ac:dyDescent="0.4">
      <c r="A60" s="74" t="s">
        <v>83</v>
      </c>
      <c r="B60" s="206">
        <v>2</v>
      </c>
      <c r="C60" s="436" t="s">
        <v>102</v>
      </c>
      <c r="D60" s="440">
        <v>280.5</v>
      </c>
      <c r="E60" s="102">
        <v>1</v>
      </c>
      <c r="F60" s="214">
        <v>85025034</v>
      </c>
      <c r="G60" s="138">
        <f>IF(ISBLANK(F60),"-",(F60/$D$50*$D$47*$B$68)*($B$57/$D$60))</f>
        <v>59.18453427373673</v>
      </c>
      <c r="H60" s="140">
        <f t="shared" ref="H60:H71" si="0">IF(ISBLANK(F60),"-",G60/$B$56)</f>
        <v>0.98640890456227881</v>
      </c>
      <c r="K60" s="65"/>
    </row>
    <row r="61" spans="1:11" s="11" customFormat="1" ht="26.25" customHeight="1" x14ac:dyDescent="0.4">
      <c r="A61" s="74" t="s">
        <v>84</v>
      </c>
      <c r="B61" s="206">
        <v>20</v>
      </c>
      <c r="C61" s="437"/>
      <c r="D61" s="441"/>
      <c r="E61" s="103">
        <v>2</v>
      </c>
      <c r="F61" s="208">
        <v>85122104</v>
      </c>
      <c r="G61" s="139">
        <f>IF(ISBLANK(F61),"-",(F61/$D$50*$D$47*$B$68)*($B$57/$D$60))</f>
        <v>59.252103111662166</v>
      </c>
      <c r="H61" s="141">
        <f t="shared" si="0"/>
        <v>0.98753505186103607</v>
      </c>
      <c r="K61" s="65"/>
    </row>
    <row r="62" spans="1:11" s="11" customFormat="1" ht="26.25" customHeight="1" x14ac:dyDescent="0.4">
      <c r="A62" s="74" t="s">
        <v>85</v>
      </c>
      <c r="B62" s="206">
        <v>1</v>
      </c>
      <c r="C62" s="437"/>
      <c r="D62" s="441"/>
      <c r="E62" s="103">
        <v>3</v>
      </c>
      <c r="F62" s="208">
        <v>85098051</v>
      </c>
      <c r="G62" s="139">
        <f>IF(ISBLANK(F62),"-",(F62/$D$50*$D$47*$B$68)*($B$57/$D$60))</f>
        <v>59.23536021211936</v>
      </c>
      <c r="H62" s="141">
        <f t="shared" si="0"/>
        <v>0.98725600353532272</v>
      </c>
      <c r="K62" s="65"/>
    </row>
    <row r="63" spans="1:11" ht="21" customHeight="1" x14ac:dyDescent="0.4">
      <c r="A63" s="74" t="s">
        <v>86</v>
      </c>
      <c r="B63" s="206">
        <v>1</v>
      </c>
      <c r="C63" s="438"/>
      <c r="D63" s="442"/>
      <c r="E63" s="104">
        <v>4</v>
      </c>
      <c r="F63" s="215"/>
      <c r="G63" s="139" t="str">
        <f>IF(ISBLANK(F63),"-",(F63/$D$50*$D$47*$B$68)*($B$57/$D$60))</f>
        <v>-</v>
      </c>
      <c r="H63" s="141" t="str">
        <f t="shared" si="0"/>
        <v>-</v>
      </c>
    </row>
    <row r="64" spans="1:11" ht="26.25" customHeight="1" x14ac:dyDescent="0.4">
      <c r="A64" s="74" t="s">
        <v>87</v>
      </c>
      <c r="B64" s="206">
        <v>1</v>
      </c>
      <c r="C64" s="436" t="s">
        <v>103</v>
      </c>
      <c r="D64" s="440">
        <v>296.18</v>
      </c>
      <c r="E64" s="102">
        <v>1</v>
      </c>
      <c r="F64" s="214">
        <v>88836723</v>
      </c>
      <c r="G64" s="166">
        <f>IF(ISBLANK(F64),"-",(F64/$D$50*$D$47*$B$68)*($B$57/$D$64))</f>
        <v>58.56404787247444</v>
      </c>
      <c r="H64" s="163">
        <f t="shared" si="0"/>
        <v>0.97606746454124071</v>
      </c>
    </row>
    <row r="65" spans="1:8" ht="26.25" customHeight="1" x14ac:dyDescent="0.4">
      <c r="A65" s="74" t="s">
        <v>88</v>
      </c>
      <c r="B65" s="206">
        <v>1</v>
      </c>
      <c r="C65" s="437"/>
      <c r="D65" s="441"/>
      <c r="E65" s="103">
        <v>2</v>
      </c>
      <c r="F65" s="208">
        <v>89020871</v>
      </c>
      <c r="G65" s="167">
        <f>IF(ISBLANK(F65),"-",(F65/$D$50*$D$47*$B$68)*($B$57/$D$64))</f>
        <v>58.685444204120095</v>
      </c>
      <c r="H65" s="164">
        <f t="shared" si="0"/>
        <v>0.97809073673533498</v>
      </c>
    </row>
    <row r="66" spans="1:8" ht="26.25" customHeight="1" x14ac:dyDescent="0.4">
      <c r="A66" s="74" t="s">
        <v>89</v>
      </c>
      <c r="B66" s="206">
        <v>1</v>
      </c>
      <c r="C66" s="437"/>
      <c r="D66" s="441"/>
      <c r="E66" s="103">
        <v>3</v>
      </c>
      <c r="F66" s="208">
        <v>89266979</v>
      </c>
      <c r="G66" s="167">
        <f>IF(ISBLANK(F66),"-",(F66/$D$50*$D$47*$B$68)*($B$57/$D$64))</f>
        <v>58.847686576497992</v>
      </c>
      <c r="H66" s="164">
        <f t="shared" si="0"/>
        <v>0.98079477627496658</v>
      </c>
    </row>
    <row r="67" spans="1:8" ht="21" customHeight="1" x14ac:dyDescent="0.4">
      <c r="A67" s="74" t="s">
        <v>90</v>
      </c>
      <c r="B67" s="206">
        <v>1</v>
      </c>
      <c r="C67" s="438"/>
      <c r="D67" s="442"/>
      <c r="E67" s="104">
        <v>4</v>
      </c>
      <c r="F67" s="215"/>
      <c r="G67" s="168" t="str">
        <f>IF(ISBLANK(F67),"-",(F67/$D$50*$D$47*$B$68)*($B$57/$D$64))</f>
        <v>-</v>
      </c>
      <c r="H67" s="165" t="str">
        <f t="shared" si="0"/>
        <v>-</v>
      </c>
    </row>
    <row r="68" spans="1:8" ht="21.75" customHeight="1" x14ac:dyDescent="0.4">
      <c r="A68" s="74" t="s">
        <v>91</v>
      </c>
      <c r="B68" s="175">
        <f>(B67/B66)*(B65/B64)*(B63/B62)*(B61/B60)*B59</f>
        <v>1000</v>
      </c>
      <c r="C68" s="436" t="s">
        <v>104</v>
      </c>
      <c r="D68" s="440">
        <v>305.81</v>
      </c>
      <c r="E68" s="102">
        <v>1</v>
      </c>
      <c r="F68" s="214">
        <v>92245242</v>
      </c>
      <c r="G68" s="166">
        <f>IF(ISBLANK(F68),"-",(F68/$D$50*$D$47*$B$68)*($B$57/$D$68))</f>
        <v>58.896105436683904</v>
      </c>
      <c r="H68" s="141">
        <f t="shared" si="0"/>
        <v>0.98160175727806509</v>
      </c>
    </row>
    <row r="69" spans="1:8" ht="21.75" customHeight="1" x14ac:dyDescent="0.4">
      <c r="A69" s="193" t="s">
        <v>105</v>
      </c>
      <c r="B69" s="213">
        <f>D47*B68/B56*B57</f>
        <v>343.3056666666667</v>
      </c>
      <c r="C69" s="437"/>
      <c r="D69" s="441"/>
      <c r="E69" s="103">
        <v>2</v>
      </c>
      <c r="F69" s="208">
        <v>92338348</v>
      </c>
      <c r="G69" s="167">
        <f>IF(ISBLANK(F69),"-",(F69/$D$50*$D$47*$B$68)*($B$57/$D$68))</f>
        <v>58.955551112947489</v>
      </c>
      <c r="H69" s="141">
        <f t="shared" si="0"/>
        <v>0.98259251854912477</v>
      </c>
    </row>
    <row r="70" spans="1:8" ht="22.5" customHeight="1" x14ac:dyDescent="0.4">
      <c r="A70" s="443" t="s">
        <v>66</v>
      </c>
      <c r="B70" s="444"/>
      <c r="C70" s="437"/>
      <c r="D70" s="441"/>
      <c r="E70" s="103">
        <v>3</v>
      </c>
      <c r="F70" s="208">
        <v>92284214</v>
      </c>
      <c r="G70" s="167">
        <f>IF(ISBLANK(F70),"-",(F70/$D$50*$D$47*$B$68)*($B$57/$D$68))</f>
        <v>58.920988010259663</v>
      </c>
      <c r="H70" s="141">
        <f t="shared" si="0"/>
        <v>0.98201646683766108</v>
      </c>
    </row>
    <row r="71" spans="1:8" ht="21.75" customHeight="1" x14ac:dyDescent="0.4">
      <c r="A71" s="445"/>
      <c r="B71" s="446"/>
      <c r="C71" s="439"/>
      <c r="D71" s="442"/>
      <c r="E71" s="104">
        <v>4</v>
      </c>
      <c r="F71" s="215"/>
      <c r="G71" s="168" t="str">
        <f>IF(ISBLANK(F71),"-",(F71/$D$50*$D$47*$B$68)*($B$57/$D$68))</f>
        <v>-</v>
      </c>
      <c r="H71" s="142" t="str">
        <f t="shared" si="0"/>
        <v>-</v>
      </c>
    </row>
    <row r="72" spans="1:8" ht="26.25" customHeight="1" x14ac:dyDescent="0.4">
      <c r="A72" s="105"/>
      <c r="B72" s="105"/>
      <c r="C72" s="105"/>
      <c r="D72" s="105"/>
      <c r="E72" s="105"/>
      <c r="F72" s="106"/>
      <c r="G72" s="95" t="s">
        <v>59</v>
      </c>
      <c r="H72" s="216">
        <f>AVERAGE(H60:H71)</f>
        <v>0.98248485335278113</v>
      </c>
    </row>
    <row r="73" spans="1:8" ht="26.25" customHeight="1" x14ac:dyDescent="0.4">
      <c r="C73" s="105"/>
      <c r="D73" s="105"/>
      <c r="E73" s="105"/>
      <c r="F73" s="106"/>
      <c r="G73" s="92" t="s">
        <v>72</v>
      </c>
      <c r="H73" s="217">
        <f>STDEV(H60:H71)/H72</f>
        <v>4.0717054660936646E-3</v>
      </c>
    </row>
    <row r="74" spans="1:8" ht="27" customHeight="1" x14ac:dyDescent="0.4">
      <c r="A74" s="105"/>
      <c r="B74" s="105"/>
      <c r="C74" s="106"/>
      <c r="D74" s="106"/>
      <c r="E74" s="107"/>
      <c r="F74" s="106"/>
      <c r="G74" s="94" t="s">
        <v>18</v>
      </c>
      <c r="H74" s="218">
        <f>COUNT(H60:H71)</f>
        <v>9</v>
      </c>
    </row>
    <row r="75" spans="1:8" ht="18.75" x14ac:dyDescent="0.3">
      <c r="A75" s="105"/>
      <c r="B75" s="105"/>
      <c r="C75" s="106"/>
      <c r="D75" s="106"/>
      <c r="E75" s="107"/>
      <c r="F75" s="106"/>
      <c r="G75" s="127"/>
      <c r="H75" s="182"/>
    </row>
    <row r="76" spans="1:8" ht="18.75" x14ac:dyDescent="0.3">
      <c r="A76" s="61" t="s">
        <v>75</v>
      </c>
      <c r="B76" s="199" t="s">
        <v>92</v>
      </c>
      <c r="C76" s="427" t="str">
        <f>B20</f>
        <v xml:space="preserve">ABACAVIR LAMIVUDINE </v>
      </c>
      <c r="D76" s="427"/>
      <c r="E76" s="200" t="s">
        <v>76</v>
      </c>
      <c r="F76" s="200"/>
      <c r="G76" s="201">
        <f>H72</f>
        <v>0.98248485335278113</v>
      </c>
      <c r="H76" s="182"/>
    </row>
    <row r="77" spans="1:8" ht="18.75" x14ac:dyDescent="0.3">
      <c r="A77" s="105"/>
      <c r="B77" s="105"/>
      <c r="C77" s="106"/>
      <c r="D77" s="106"/>
      <c r="E77" s="107"/>
      <c r="F77" s="106"/>
      <c r="G77" s="127"/>
      <c r="H77" s="182"/>
    </row>
    <row r="78" spans="1:8" ht="26.25" customHeight="1" x14ac:dyDescent="0.4">
      <c r="A78" s="60" t="s">
        <v>106</v>
      </c>
      <c r="B78" s="60" t="s">
        <v>107</v>
      </c>
      <c r="D78" s="222" t="s">
        <v>108</v>
      </c>
    </row>
    <row r="79" spans="1:8" ht="18.75" x14ac:dyDescent="0.3">
      <c r="A79" s="60"/>
      <c r="B79" s="60"/>
    </row>
    <row r="80" spans="1:8" ht="26.25" customHeight="1" x14ac:dyDescent="0.4">
      <c r="A80" s="61" t="s">
        <v>4</v>
      </c>
      <c r="B80" s="430" t="str">
        <f>B26</f>
        <v>Abacavir sulphate</v>
      </c>
      <c r="C80" s="430"/>
    </row>
    <row r="81" spans="1:11" ht="26.25" customHeight="1" x14ac:dyDescent="0.4">
      <c r="A81" s="63" t="s">
        <v>39</v>
      </c>
      <c r="B81" s="202" t="str">
        <f>B27</f>
        <v>A12 1</v>
      </c>
    </row>
    <row r="82" spans="1:11" ht="27" customHeight="1" x14ac:dyDescent="0.4">
      <c r="A82" s="63" t="s">
        <v>6</v>
      </c>
      <c r="B82" s="202">
        <f>B28</f>
        <v>99.4</v>
      </c>
    </row>
    <row r="83" spans="1:11" s="11" customFormat="1" ht="27" customHeight="1" x14ac:dyDescent="0.4">
      <c r="A83" s="63" t="s">
        <v>40</v>
      </c>
      <c r="B83" s="202">
        <f>B29</f>
        <v>0</v>
      </c>
      <c r="C83" s="431" t="s">
        <v>78</v>
      </c>
      <c r="D83" s="432"/>
      <c r="E83" s="432"/>
      <c r="F83" s="432"/>
      <c r="G83" s="433"/>
      <c r="I83" s="65"/>
      <c r="J83" s="65"/>
      <c r="K83" s="65"/>
    </row>
    <row r="84" spans="1:11" s="11" customFormat="1" ht="19.5" customHeight="1" x14ac:dyDescent="0.3">
      <c r="A84" s="63" t="s">
        <v>41</v>
      </c>
      <c r="B84" s="62">
        <f>B82-B83</f>
        <v>99.4</v>
      </c>
      <c r="C84" s="66"/>
      <c r="D84" s="66"/>
      <c r="E84" s="66"/>
      <c r="F84" s="66"/>
      <c r="G84" s="67"/>
      <c r="I84" s="65"/>
      <c r="J84" s="65"/>
      <c r="K84" s="65"/>
    </row>
    <row r="85" spans="1:11" s="11" customFormat="1" ht="27" customHeight="1" x14ac:dyDescent="0.4">
      <c r="A85" s="63" t="s">
        <v>42</v>
      </c>
      <c r="B85" s="204">
        <v>286.33</v>
      </c>
      <c r="C85" s="419" t="s">
        <v>43</v>
      </c>
      <c r="D85" s="420"/>
      <c r="E85" s="420"/>
      <c r="F85" s="420"/>
      <c r="G85" s="420"/>
      <c r="H85" s="434"/>
      <c r="I85" s="65"/>
      <c r="J85" s="65"/>
      <c r="K85" s="65"/>
    </row>
    <row r="86" spans="1:11" s="11" customFormat="1" ht="27" customHeight="1" x14ac:dyDescent="0.4">
      <c r="A86" s="63" t="s">
        <v>44</v>
      </c>
      <c r="B86" s="204">
        <v>335.37</v>
      </c>
      <c r="C86" s="419" t="s">
        <v>45</v>
      </c>
      <c r="D86" s="420"/>
      <c r="E86" s="420"/>
      <c r="F86" s="420"/>
      <c r="G86" s="420"/>
      <c r="H86" s="434"/>
      <c r="I86" s="65"/>
      <c r="J86" s="65"/>
      <c r="K86" s="65"/>
    </row>
    <row r="87" spans="1:11" s="11" customFormat="1" ht="18.75" x14ac:dyDescent="0.3">
      <c r="A87" s="63"/>
      <c r="B87" s="62"/>
      <c r="C87" s="66"/>
      <c r="D87" s="66"/>
      <c r="E87" s="66"/>
      <c r="F87" s="66"/>
      <c r="G87" s="67"/>
      <c r="I87" s="65"/>
      <c r="J87" s="65"/>
      <c r="K87" s="65"/>
    </row>
    <row r="88" spans="1:11" s="11" customFormat="1" ht="18.75" x14ac:dyDescent="0.3">
      <c r="A88" s="63" t="s">
        <v>46</v>
      </c>
      <c r="B88" s="72">
        <f>B85/B86</f>
        <v>0.8537734442555982</v>
      </c>
      <c r="C88" s="55" t="s">
        <v>47</v>
      </c>
      <c r="D88" s="66"/>
      <c r="E88" s="66"/>
      <c r="F88" s="66"/>
      <c r="G88" s="67"/>
      <c r="I88" s="65"/>
      <c r="J88" s="65"/>
      <c r="K88" s="65"/>
    </row>
    <row r="89" spans="1:11" ht="19.5" customHeight="1" x14ac:dyDescent="0.3">
      <c r="A89" s="60"/>
      <c r="B89" s="60"/>
    </row>
    <row r="90" spans="1:11" ht="27" customHeight="1" x14ac:dyDescent="0.4">
      <c r="A90" s="73" t="s">
        <v>94</v>
      </c>
      <c r="B90" s="205">
        <v>25</v>
      </c>
      <c r="D90" s="136" t="s">
        <v>48</v>
      </c>
      <c r="E90" s="137"/>
      <c r="F90" s="421" t="s">
        <v>49</v>
      </c>
      <c r="G90" s="422"/>
    </row>
    <row r="91" spans="1:11" ht="26.25" customHeight="1" x14ac:dyDescent="0.4">
      <c r="A91" s="74" t="s">
        <v>50</v>
      </c>
      <c r="B91" s="206">
        <v>2</v>
      </c>
      <c r="C91" s="133" t="s">
        <v>95</v>
      </c>
      <c r="D91" s="77" t="s">
        <v>52</v>
      </c>
      <c r="E91" s="134" t="s">
        <v>53</v>
      </c>
      <c r="F91" s="77" t="s">
        <v>52</v>
      </c>
      <c r="G91" s="78" t="s">
        <v>53</v>
      </c>
    </row>
    <row r="92" spans="1:11" ht="26.25" customHeight="1" x14ac:dyDescent="0.4">
      <c r="A92" s="74" t="s">
        <v>54</v>
      </c>
      <c r="B92" s="206">
        <v>20</v>
      </c>
      <c r="C92" s="131">
        <v>1</v>
      </c>
      <c r="D92" s="207">
        <v>44835119</v>
      </c>
      <c r="E92" s="150">
        <f>IF(ISBLANK(D92),"-",$D$102/$D$99*D92)</f>
        <v>49972622.991334669</v>
      </c>
      <c r="F92" s="207">
        <v>46143257</v>
      </c>
      <c r="G92" s="153">
        <f>IF(ISBLANK(F92),"-",$D$102/$F$99*F92)</f>
        <v>50939188.316613115</v>
      </c>
    </row>
    <row r="93" spans="1:11" ht="26.25" customHeight="1" x14ac:dyDescent="0.4">
      <c r="A93" s="74" t="s">
        <v>55</v>
      </c>
      <c r="B93" s="206">
        <v>5</v>
      </c>
      <c r="C93" s="106">
        <v>2</v>
      </c>
      <c r="D93" s="208">
        <v>44815693</v>
      </c>
      <c r="E93" s="151">
        <f>IF(ISBLANK(D93),"-",$D$102/$D$99*D93)</f>
        <v>49950971.031980447</v>
      </c>
      <c r="F93" s="208">
        <v>46194392</v>
      </c>
      <c r="G93" s="154">
        <f>IF(ISBLANK(F93),"-",$D$102/$F$99*F93)</f>
        <v>50995638.06818939</v>
      </c>
    </row>
    <row r="94" spans="1:11" ht="26.25" customHeight="1" x14ac:dyDescent="0.4">
      <c r="A94" s="74" t="s">
        <v>56</v>
      </c>
      <c r="B94" s="206">
        <v>10</v>
      </c>
      <c r="C94" s="106">
        <v>3</v>
      </c>
      <c r="D94" s="208">
        <v>44816462</v>
      </c>
      <c r="E94" s="151">
        <f>IF(ISBLANK(D94),"-",$D$102/$D$99*D94)</f>
        <v>49951828.149078324</v>
      </c>
      <c r="F94" s="208">
        <v>46203885</v>
      </c>
      <c r="G94" s="154">
        <f>IF(ISBLANK(F94),"-",$D$102/$F$99*F94)</f>
        <v>51006117.729707204</v>
      </c>
    </row>
    <row r="95" spans="1:11" ht="26.25" customHeight="1" x14ac:dyDescent="0.4">
      <c r="A95" s="74" t="s">
        <v>57</v>
      </c>
      <c r="B95" s="206">
        <v>1</v>
      </c>
      <c r="C95" s="135">
        <v>4</v>
      </c>
      <c r="D95" s="209"/>
      <c r="E95" s="152" t="str">
        <f>IF(ISBLANK(D95),"-",$D$102/$D$99*D95)</f>
        <v>-</v>
      </c>
      <c r="F95" s="219"/>
      <c r="G95" s="155" t="str">
        <f>IF(ISBLANK(F95),"-",$D$102/$F$99*F95)</f>
        <v>-</v>
      </c>
    </row>
    <row r="96" spans="1:11" ht="27" customHeight="1" x14ac:dyDescent="0.4">
      <c r="A96" s="74" t="s">
        <v>58</v>
      </c>
      <c r="B96" s="206">
        <v>1</v>
      </c>
      <c r="C96" s="127" t="s">
        <v>59</v>
      </c>
      <c r="D96" s="194">
        <f>AVERAGE(D92:D95)</f>
        <v>44822424.666666664</v>
      </c>
      <c r="E96" s="109">
        <f>AVERAGE(E92:E95)</f>
        <v>49958474.05746448</v>
      </c>
      <c r="F96" s="132">
        <f>AVERAGE(F92:F95)</f>
        <v>46180511.333333336</v>
      </c>
      <c r="G96" s="156">
        <f>AVERAGE(G92:G95)</f>
        <v>50980314.70483657</v>
      </c>
    </row>
    <row r="97" spans="1:9" ht="26.25" customHeight="1" x14ac:dyDescent="0.4">
      <c r="A97" s="74" t="s">
        <v>60</v>
      </c>
      <c r="B97" s="203">
        <v>1</v>
      </c>
      <c r="C97" s="185" t="s">
        <v>61</v>
      </c>
      <c r="D97" s="210">
        <v>35.24</v>
      </c>
      <c r="E97" s="81"/>
      <c r="F97" s="211">
        <v>35.58</v>
      </c>
    </row>
    <row r="98" spans="1:9" ht="26.25" customHeight="1" x14ac:dyDescent="0.4">
      <c r="A98" s="74" t="s">
        <v>62</v>
      </c>
      <c r="B98" s="203">
        <v>1</v>
      </c>
      <c r="C98" s="186" t="s">
        <v>63</v>
      </c>
      <c r="D98" s="187">
        <f>D97*B88</f>
        <v>30.086976175567283</v>
      </c>
      <c r="E98" s="88"/>
      <c r="F98" s="87">
        <f>F97*B88</f>
        <v>30.377259146614183</v>
      </c>
    </row>
    <row r="99" spans="1:9" ht="19.5" customHeight="1" x14ac:dyDescent="0.3">
      <c r="A99" s="74" t="s">
        <v>64</v>
      </c>
      <c r="B99" s="183">
        <f>(B98/B97)*(B96/B95)*(B94/B93)*(B92/B91)*B90</f>
        <v>500</v>
      </c>
      <c r="C99" s="186" t="s">
        <v>65</v>
      </c>
      <c r="D99" s="188">
        <f>D98*$B$84/100</f>
        <v>29.90645431851388</v>
      </c>
      <c r="E99" s="90"/>
      <c r="F99" s="89">
        <f>F98*$B$84/100</f>
        <v>30.1949955917345</v>
      </c>
    </row>
    <row r="100" spans="1:9" ht="19.5" customHeight="1" x14ac:dyDescent="0.3">
      <c r="A100" s="423" t="s">
        <v>66</v>
      </c>
      <c r="B100" s="428"/>
      <c r="C100" s="186" t="s">
        <v>67</v>
      </c>
      <c r="D100" s="187">
        <f>D99/$B$99</f>
        <v>5.9812908637027762E-2</v>
      </c>
      <c r="E100" s="90"/>
      <c r="F100" s="91">
        <f>F99/$B$99</f>
        <v>6.0389991183469001E-2</v>
      </c>
      <c r="G100" s="169"/>
      <c r="H100" s="170"/>
    </row>
    <row r="101" spans="1:9" ht="19.5" customHeight="1" x14ac:dyDescent="0.3">
      <c r="A101" s="425"/>
      <c r="B101" s="429"/>
      <c r="C101" s="186" t="s">
        <v>68</v>
      </c>
      <c r="D101" s="195">
        <f>$B$56/$B$117</f>
        <v>6.6666666666666666E-2</v>
      </c>
      <c r="F101" s="93"/>
      <c r="G101" s="171"/>
      <c r="H101" s="170"/>
    </row>
    <row r="102" spans="1:9" ht="18.75" x14ac:dyDescent="0.3">
      <c r="C102" s="186" t="s">
        <v>69</v>
      </c>
      <c r="D102" s="187">
        <f>D101*$B$99</f>
        <v>33.333333333333336</v>
      </c>
      <c r="F102" s="93"/>
      <c r="G102" s="169"/>
      <c r="H102" s="170"/>
    </row>
    <row r="103" spans="1:9" ht="19.5" customHeight="1" x14ac:dyDescent="0.3">
      <c r="C103" s="189" t="s">
        <v>70</v>
      </c>
      <c r="D103" s="196">
        <f>D102/B34</f>
        <v>39.042363706213116</v>
      </c>
      <c r="F103" s="96"/>
      <c r="G103" s="169"/>
      <c r="H103" s="170"/>
      <c r="I103" s="110"/>
    </row>
    <row r="104" spans="1:9" ht="18.75" x14ac:dyDescent="0.3">
      <c r="C104" s="191" t="s">
        <v>109</v>
      </c>
      <c r="D104" s="192">
        <f>AVERAGE(E92:E95,G92:G95)</f>
        <v>50469394.381150521</v>
      </c>
      <c r="F104" s="96"/>
      <c r="G104" s="172"/>
      <c r="H104" s="170"/>
      <c r="I104" s="112"/>
    </row>
    <row r="105" spans="1:9" ht="18.75" x14ac:dyDescent="0.3">
      <c r="C105" s="92" t="s">
        <v>72</v>
      </c>
      <c r="D105" s="111">
        <f>STDEV(E92:E95,G92:G95)/D104</f>
        <v>1.1099831375297164E-2</v>
      </c>
      <c r="F105" s="96"/>
      <c r="G105" s="169"/>
      <c r="H105" s="170"/>
      <c r="I105" s="112"/>
    </row>
    <row r="106" spans="1:9" ht="19.5" customHeight="1" x14ac:dyDescent="0.3">
      <c r="C106" s="94" t="s">
        <v>18</v>
      </c>
      <c r="D106" s="113">
        <f>COUNT(E92:E95,G92:G95)</f>
        <v>6</v>
      </c>
      <c r="F106" s="96"/>
      <c r="G106" s="169"/>
      <c r="H106" s="170"/>
      <c r="I106" s="112"/>
    </row>
    <row r="107" spans="1:9" ht="19.5" customHeight="1" x14ac:dyDescent="0.3">
      <c r="A107" s="54"/>
      <c r="B107" s="54"/>
      <c r="C107" s="54"/>
      <c r="D107" s="54"/>
      <c r="E107" s="54"/>
    </row>
    <row r="108" spans="1:9" ht="26.25" customHeight="1" x14ac:dyDescent="0.4">
      <c r="A108" s="73" t="s">
        <v>79</v>
      </c>
      <c r="B108" s="205">
        <v>900</v>
      </c>
      <c r="C108" s="114" t="s">
        <v>80</v>
      </c>
      <c r="D108" s="115" t="s">
        <v>52</v>
      </c>
      <c r="E108" s="116" t="s">
        <v>81</v>
      </c>
      <c r="F108" s="117" t="s">
        <v>82</v>
      </c>
    </row>
    <row r="109" spans="1:9" ht="26.25" customHeight="1" x14ac:dyDescent="0.4">
      <c r="A109" s="74" t="s">
        <v>83</v>
      </c>
      <c r="B109" s="206">
        <v>1</v>
      </c>
      <c r="C109" s="80">
        <v>1</v>
      </c>
      <c r="D109" s="220">
        <v>48127082</v>
      </c>
      <c r="E109" s="118">
        <f t="shared" ref="E109:E114" si="1">IF(ISBLANK(D109),"-",D109/$D$104*$D$101*$B$117)</f>
        <v>57.215366964626774</v>
      </c>
      <c r="F109" s="119">
        <f t="shared" ref="F109:F114" si="2">IF(ISBLANK(D109), "-", E109/$B$56)</f>
        <v>0.95358944941044621</v>
      </c>
    </row>
    <row r="110" spans="1:9" ht="26.25" customHeight="1" x14ac:dyDescent="0.4">
      <c r="A110" s="74" t="s">
        <v>84</v>
      </c>
      <c r="B110" s="206">
        <v>1</v>
      </c>
      <c r="C110" s="80">
        <v>2</v>
      </c>
      <c r="D110" s="220">
        <v>48469105</v>
      </c>
      <c r="E110" s="120">
        <f t="shared" si="1"/>
        <v>57.621977352003739</v>
      </c>
      <c r="F110" s="143">
        <f t="shared" si="2"/>
        <v>0.96036628920006228</v>
      </c>
    </row>
    <row r="111" spans="1:9" ht="26.25" customHeight="1" x14ac:dyDescent="0.4">
      <c r="A111" s="74" t="s">
        <v>85</v>
      </c>
      <c r="B111" s="206">
        <v>1</v>
      </c>
      <c r="C111" s="80">
        <v>3</v>
      </c>
      <c r="D111" s="220">
        <v>49696827</v>
      </c>
      <c r="E111" s="120">
        <f t="shared" si="1"/>
        <v>59.081541527545177</v>
      </c>
      <c r="F111" s="143">
        <f t="shared" si="2"/>
        <v>0.98469235879241956</v>
      </c>
    </row>
    <row r="112" spans="1:9" ht="26.25" customHeight="1" x14ac:dyDescent="0.4">
      <c r="A112" s="74" t="s">
        <v>86</v>
      </c>
      <c r="B112" s="206">
        <v>1</v>
      </c>
      <c r="C112" s="80">
        <v>4</v>
      </c>
      <c r="D112" s="220">
        <v>47137027</v>
      </c>
      <c r="E112" s="120">
        <f t="shared" si="1"/>
        <v>56.038350661411812</v>
      </c>
      <c r="F112" s="143">
        <f t="shared" si="2"/>
        <v>0.93397251102353018</v>
      </c>
    </row>
    <row r="113" spans="1:9" ht="26.25" customHeight="1" x14ac:dyDescent="0.4">
      <c r="A113" s="74" t="s">
        <v>87</v>
      </c>
      <c r="B113" s="206">
        <v>1</v>
      </c>
      <c r="C113" s="80">
        <v>5</v>
      </c>
      <c r="D113" s="220">
        <v>50155359</v>
      </c>
      <c r="E113" s="120">
        <f t="shared" si="1"/>
        <v>59.626662394108926</v>
      </c>
      <c r="F113" s="143">
        <f t="shared" si="2"/>
        <v>0.99377770656848208</v>
      </c>
    </row>
    <row r="114" spans="1:9" ht="26.25" customHeight="1" x14ac:dyDescent="0.4">
      <c r="A114" s="74" t="s">
        <v>88</v>
      </c>
      <c r="B114" s="206">
        <v>1</v>
      </c>
      <c r="C114" s="83">
        <v>6</v>
      </c>
      <c r="D114" s="221">
        <v>54307967</v>
      </c>
      <c r="E114" s="121">
        <f t="shared" si="1"/>
        <v>64.563446024170773</v>
      </c>
      <c r="F114" s="144">
        <f t="shared" si="2"/>
        <v>1.0760574337361795</v>
      </c>
    </row>
    <row r="115" spans="1:9" ht="26.25" customHeight="1" x14ac:dyDescent="0.4">
      <c r="A115" s="74" t="s">
        <v>89</v>
      </c>
      <c r="B115" s="206">
        <v>1</v>
      </c>
      <c r="C115" s="80"/>
      <c r="D115" s="106"/>
      <c r="E115" s="108"/>
      <c r="F115" s="122"/>
    </row>
    <row r="116" spans="1:9" ht="26.25" customHeight="1" x14ac:dyDescent="0.4">
      <c r="A116" s="74" t="s">
        <v>90</v>
      </c>
      <c r="B116" s="206">
        <v>1</v>
      </c>
      <c r="C116" s="80"/>
      <c r="D116" s="123"/>
      <c r="E116" s="124" t="s">
        <v>59</v>
      </c>
      <c r="F116" s="227">
        <f>AVERAGE(F109:F114)</f>
        <v>0.98374262478851993</v>
      </c>
    </row>
    <row r="117" spans="1:9" ht="27" customHeight="1" x14ac:dyDescent="0.4">
      <c r="A117" s="74" t="s">
        <v>91</v>
      </c>
      <c r="B117" s="174">
        <f>(B116/B115)*(B114/B113)*(B112/B111)*(B110/B109)*B108</f>
        <v>900</v>
      </c>
      <c r="C117" s="125"/>
      <c r="D117" s="126"/>
      <c r="E117" s="127" t="s">
        <v>72</v>
      </c>
      <c r="F117" s="228">
        <f>STDEV(F109:F114)/F116</f>
        <v>5.0940756391790479E-2</v>
      </c>
    </row>
    <row r="118" spans="1:9" ht="27" customHeight="1" x14ac:dyDescent="0.4">
      <c r="A118" s="423" t="s">
        <v>66</v>
      </c>
      <c r="B118" s="424"/>
      <c r="C118" s="128"/>
      <c r="D118" s="129"/>
      <c r="E118" s="130" t="s">
        <v>18</v>
      </c>
      <c r="F118" s="229">
        <f>COUNT(F109:F114)</f>
        <v>6</v>
      </c>
      <c r="I118" s="112"/>
    </row>
    <row r="119" spans="1:9" ht="19.5" customHeight="1" x14ac:dyDescent="0.3">
      <c r="A119" s="425"/>
      <c r="B119" s="426"/>
      <c r="C119" s="108"/>
      <c r="D119" s="108"/>
      <c r="E119" s="108"/>
      <c r="F119" s="106"/>
      <c r="G119" s="108"/>
      <c r="H119" s="108"/>
    </row>
    <row r="120" spans="1:9" ht="18.75" x14ac:dyDescent="0.3">
      <c r="A120" s="71"/>
      <c r="B120" s="71"/>
      <c r="C120" s="108"/>
      <c r="D120" s="108"/>
      <c r="E120" s="108"/>
      <c r="F120" s="106"/>
      <c r="G120" s="108"/>
      <c r="H120" s="108"/>
    </row>
    <row r="121" spans="1:9" ht="26.25" customHeight="1" x14ac:dyDescent="0.4">
      <c r="A121" s="61" t="s">
        <v>75</v>
      </c>
      <c r="B121" s="199" t="s">
        <v>92</v>
      </c>
      <c r="C121" s="427" t="str">
        <f>B20</f>
        <v xml:space="preserve">ABACAVIR LAMIVUDINE </v>
      </c>
      <c r="D121" s="427"/>
      <c r="E121" s="200" t="s">
        <v>93</v>
      </c>
      <c r="F121" s="200"/>
      <c r="G121" s="230">
        <f>F116</f>
        <v>0.98374262478851993</v>
      </c>
      <c r="H121" s="108"/>
    </row>
    <row r="122" spans="1:9" ht="18.75" x14ac:dyDescent="0.3">
      <c r="A122" s="71"/>
      <c r="B122" s="71"/>
      <c r="C122" s="108"/>
      <c r="D122" s="108"/>
      <c r="E122" s="108"/>
      <c r="F122" s="106"/>
      <c r="G122" s="108"/>
      <c r="H122" s="108"/>
    </row>
    <row r="123" spans="1:9" ht="26.25" customHeight="1" x14ac:dyDescent="0.4">
      <c r="A123" s="60" t="s">
        <v>106</v>
      </c>
      <c r="B123" s="60" t="s">
        <v>107</v>
      </c>
      <c r="D123" s="222" t="s">
        <v>110</v>
      </c>
    </row>
    <row r="124" spans="1:9" ht="19.5" customHeight="1" x14ac:dyDescent="0.3">
      <c r="A124" s="54"/>
      <c r="B124" s="54"/>
      <c r="C124" s="54"/>
      <c r="D124" s="54"/>
      <c r="E124" s="54"/>
    </row>
    <row r="125" spans="1:9" ht="26.25" customHeight="1" x14ac:dyDescent="0.4">
      <c r="A125" s="73" t="s">
        <v>79</v>
      </c>
      <c r="B125" s="223">
        <v>900</v>
      </c>
      <c r="C125" s="114" t="s">
        <v>80</v>
      </c>
      <c r="D125" s="115" t="s">
        <v>52</v>
      </c>
      <c r="E125" s="116" t="s">
        <v>81</v>
      </c>
      <c r="F125" s="117" t="s">
        <v>82</v>
      </c>
    </row>
    <row r="126" spans="1:9" ht="26.25" customHeight="1" x14ac:dyDescent="0.4">
      <c r="A126" s="74" t="s">
        <v>83</v>
      </c>
      <c r="B126" s="224">
        <v>1</v>
      </c>
      <c r="C126" s="80">
        <v>1</v>
      </c>
      <c r="D126" s="225">
        <v>97763407</v>
      </c>
      <c r="E126" s="179">
        <f t="shared" ref="E126:E131" si="3">IF(ISBLANK(D126),"-",D126/$D$104*$D$101*$B$134)</f>
        <v>116.22498133622899</v>
      </c>
      <c r="F126" s="176">
        <f t="shared" ref="F126:F131" si="4">IF(ISBLANK(D126), "-", E126/$B$56)</f>
        <v>1.9370830222704831</v>
      </c>
    </row>
    <row r="127" spans="1:9" ht="26.25" customHeight="1" x14ac:dyDescent="0.4">
      <c r="A127" s="74" t="s">
        <v>84</v>
      </c>
      <c r="B127" s="224">
        <v>1</v>
      </c>
      <c r="C127" s="80">
        <v>2</v>
      </c>
      <c r="D127" s="225">
        <v>113462831</v>
      </c>
      <c r="E127" s="180">
        <f t="shared" si="3"/>
        <v>134.88907373421125</v>
      </c>
      <c r="F127" s="177">
        <f t="shared" si="4"/>
        <v>2.248151228903521</v>
      </c>
    </row>
    <row r="128" spans="1:9" ht="26.25" customHeight="1" x14ac:dyDescent="0.4">
      <c r="A128" s="74" t="s">
        <v>85</v>
      </c>
      <c r="B128" s="224">
        <v>1</v>
      </c>
      <c r="C128" s="80">
        <v>3</v>
      </c>
      <c r="D128" s="225">
        <v>107674311</v>
      </c>
      <c r="E128" s="180">
        <f t="shared" si="3"/>
        <v>128.007453610596</v>
      </c>
      <c r="F128" s="177">
        <f t="shared" si="4"/>
        <v>2.1334575601766002</v>
      </c>
    </row>
    <row r="129" spans="1:9" ht="26.25" customHeight="1" x14ac:dyDescent="0.4">
      <c r="A129" s="74" t="s">
        <v>86</v>
      </c>
      <c r="B129" s="224">
        <v>1</v>
      </c>
      <c r="C129" s="80">
        <v>4</v>
      </c>
      <c r="D129" s="225">
        <v>93648936</v>
      </c>
      <c r="E129" s="180">
        <f t="shared" si="3"/>
        <v>111.3335364709385</v>
      </c>
      <c r="F129" s="177">
        <f t="shared" si="4"/>
        <v>1.8555589411823084</v>
      </c>
    </row>
    <row r="130" spans="1:9" ht="26.25" customHeight="1" x14ac:dyDescent="0.4">
      <c r="A130" s="74" t="s">
        <v>87</v>
      </c>
      <c r="B130" s="224">
        <v>1</v>
      </c>
      <c r="C130" s="80">
        <v>5</v>
      </c>
      <c r="D130" s="225">
        <v>102586228</v>
      </c>
      <c r="E130" s="180">
        <f t="shared" si="3"/>
        <v>121.9585405268674</v>
      </c>
      <c r="F130" s="177">
        <f t="shared" si="4"/>
        <v>2.0326423421144564</v>
      </c>
    </row>
    <row r="131" spans="1:9" ht="26.25" customHeight="1" x14ac:dyDescent="0.4">
      <c r="A131" s="74" t="s">
        <v>88</v>
      </c>
      <c r="B131" s="224">
        <v>1</v>
      </c>
      <c r="C131" s="83">
        <v>6</v>
      </c>
      <c r="D131" s="226">
        <v>93380627</v>
      </c>
      <c r="E131" s="181">
        <f t="shared" si="3"/>
        <v>111.01456018447027</v>
      </c>
      <c r="F131" s="178">
        <f t="shared" si="4"/>
        <v>1.8502426697411711</v>
      </c>
    </row>
    <row r="132" spans="1:9" ht="26.25" customHeight="1" x14ac:dyDescent="0.4">
      <c r="A132" s="74" t="s">
        <v>89</v>
      </c>
      <c r="B132" s="224">
        <v>1</v>
      </c>
      <c r="C132" s="80"/>
      <c r="D132" s="106"/>
      <c r="E132" s="108"/>
      <c r="F132" s="122"/>
    </row>
    <row r="133" spans="1:9" ht="26.25" customHeight="1" x14ac:dyDescent="0.4">
      <c r="A133" s="74" t="s">
        <v>90</v>
      </c>
      <c r="B133" s="224">
        <v>1</v>
      </c>
      <c r="C133" s="80"/>
      <c r="D133" s="123"/>
      <c r="E133" s="124" t="s">
        <v>59</v>
      </c>
      <c r="F133" s="227">
        <f>AVERAGE(F126:F131)</f>
        <v>2.00952262739809</v>
      </c>
    </row>
    <row r="134" spans="1:9" ht="27" customHeight="1" x14ac:dyDescent="0.4">
      <c r="A134" s="74" t="s">
        <v>91</v>
      </c>
      <c r="B134" s="231">
        <f>(B133/B132)*(B131/B130)*(B129/B128)*(B127/B126)*B125</f>
        <v>900</v>
      </c>
      <c r="C134" s="125"/>
      <c r="D134" s="126"/>
      <c r="E134" s="127" t="s">
        <v>72</v>
      </c>
      <c r="F134" s="228">
        <f>STDEV(F126:F131)/F133</f>
        <v>7.9359343679069008E-2</v>
      </c>
    </row>
    <row r="135" spans="1:9" ht="27" customHeight="1" x14ac:dyDescent="0.4">
      <c r="A135" s="423" t="s">
        <v>66</v>
      </c>
      <c r="B135" s="424"/>
      <c r="C135" s="128"/>
      <c r="D135" s="129"/>
      <c r="E135" s="130" t="s">
        <v>18</v>
      </c>
      <c r="F135" s="229">
        <f>COUNT(F126:F131)</f>
        <v>6</v>
      </c>
      <c r="I135" s="112"/>
    </row>
    <row r="136" spans="1:9" ht="19.5" customHeight="1" x14ac:dyDescent="0.3">
      <c r="A136" s="425"/>
      <c r="B136" s="426"/>
      <c r="C136" s="108"/>
      <c r="D136" s="108"/>
      <c r="E136" s="108"/>
      <c r="F136" s="106"/>
      <c r="G136" s="108"/>
      <c r="H136" s="108"/>
    </row>
    <row r="137" spans="1:9" ht="18.75" x14ac:dyDescent="0.3">
      <c r="A137" s="71"/>
      <c r="B137" s="71"/>
      <c r="C137" s="108"/>
      <c r="D137" s="108"/>
      <c r="E137" s="108"/>
      <c r="F137" s="106"/>
      <c r="G137" s="108"/>
      <c r="H137" s="108"/>
    </row>
    <row r="138" spans="1:9" ht="26.25" customHeight="1" x14ac:dyDescent="0.4">
      <c r="A138" s="61" t="s">
        <v>75</v>
      </c>
      <c r="B138" s="199" t="s">
        <v>92</v>
      </c>
      <c r="C138" s="427" t="str">
        <f>B20</f>
        <v xml:space="preserve">ABACAVIR LAMIVUDINE </v>
      </c>
      <c r="D138" s="427"/>
      <c r="E138" s="200" t="s">
        <v>93</v>
      </c>
      <c r="F138" s="200"/>
      <c r="G138" s="230">
        <f>F133</f>
        <v>2.00952262739809</v>
      </c>
      <c r="H138" s="108"/>
    </row>
    <row r="139" spans="1:9" ht="19.5" customHeight="1" x14ac:dyDescent="0.3">
      <c r="A139" s="145"/>
      <c r="B139" s="145"/>
      <c r="C139" s="146"/>
      <c r="D139" s="146"/>
      <c r="E139" s="146"/>
      <c r="F139" s="146"/>
      <c r="G139" s="146"/>
      <c r="H139" s="146"/>
    </row>
    <row r="140" spans="1:9" ht="18.75" x14ac:dyDescent="0.3">
      <c r="B140" s="418" t="s">
        <v>24</v>
      </c>
      <c r="C140" s="418"/>
      <c r="E140" s="133" t="s">
        <v>25</v>
      </c>
      <c r="F140" s="161"/>
      <c r="G140" s="418" t="s">
        <v>26</v>
      </c>
      <c r="H140" s="418"/>
    </row>
    <row r="141" spans="1:9" ht="83.1" customHeight="1" x14ac:dyDescent="0.3">
      <c r="A141" s="162" t="s">
        <v>27</v>
      </c>
      <c r="B141" s="197"/>
      <c r="C141" s="197"/>
      <c r="E141" s="157"/>
      <c r="F141" s="108"/>
      <c r="G141" s="159"/>
      <c r="H141" s="159"/>
    </row>
    <row r="142" spans="1:9" ht="83.1" customHeight="1" x14ac:dyDescent="0.3">
      <c r="A142" s="162" t="s">
        <v>28</v>
      </c>
      <c r="B142" s="198"/>
      <c r="C142" s="198"/>
      <c r="E142" s="158"/>
      <c r="F142" s="108"/>
      <c r="G142" s="160"/>
      <c r="H142" s="160"/>
    </row>
    <row r="143" spans="1:9" ht="18.75" x14ac:dyDescent="0.3">
      <c r="A143" s="105"/>
      <c r="B143" s="105"/>
      <c r="C143" s="106"/>
      <c r="D143" s="106"/>
      <c r="E143" s="106"/>
      <c r="F143" s="107"/>
      <c r="G143" s="106"/>
      <c r="H143" s="106"/>
    </row>
    <row r="144" spans="1:9" ht="18.75" x14ac:dyDescent="0.3">
      <c r="A144" s="105"/>
      <c r="B144" s="105"/>
      <c r="C144" s="106"/>
      <c r="D144" s="106"/>
      <c r="E144" s="106"/>
      <c r="F144" s="107"/>
      <c r="G144" s="106"/>
      <c r="H144" s="106"/>
    </row>
    <row r="145" spans="1:8" ht="18.75" x14ac:dyDescent="0.3">
      <c r="A145" s="105"/>
      <c r="B145" s="105"/>
      <c r="C145" s="106"/>
      <c r="D145" s="106"/>
      <c r="E145" s="106"/>
      <c r="F145" s="107"/>
      <c r="G145" s="106"/>
      <c r="H145" s="106"/>
    </row>
    <row r="146" spans="1:8" ht="18.75" x14ac:dyDescent="0.3">
      <c r="A146" s="105"/>
      <c r="B146" s="105"/>
      <c r="C146" s="106"/>
      <c r="D146" s="106"/>
      <c r="E146" s="106"/>
      <c r="F146" s="107"/>
      <c r="G146" s="106"/>
      <c r="H146" s="106"/>
    </row>
    <row r="147" spans="1:8" ht="18.75" x14ac:dyDescent="0.3">
      <c r="A147" s="105"/>
      <c r="B147" s="105"/>
      <c r="C147" s="106"/>
      <c r="D147" s="106"/>
      <c r="E147" s="106"/>
      <c r="F147" s="107"/>
      <c r="G147" s="106"/>
      <c r="H147" s="106"/>
    </row>
    <row r="148" spans="1:8" ht="18.75" x14ac:dyDescent="0.3">
      <c r="A148" s="105"/>
      <c r="B148" s="105"/>
      <c r="C148" s="106"/>
      <c r="D148" s="106"/>
      <c r="E148" s="106"/>
      <c r="F148" s="107"/>
      <c r="G148" s="106"/>
      <c r="H148" s="106"/>
    </row>
    <row r="149" spans="1:8" ht="18.75" x14ac:dyDescent="0.3">
      <c r="A149" s="105"/>
      <c r="B149" s="105"/>
      <c r="C149" s="106"/>
      <c r="D149" s="106"/>
      <c r="E149" s="106"/>
      <c r="F149" s="107"/>
      <c r="G149" s="106"/>
      <c r="H149" s="106"/>
    </row>
    <row r="150" spans="1:8" ht="18.75" x14ac:dyDescent="0.3">
      <c r="A150" s="105"/>
      <c r="B150" s="105"/>
      <c r="C150" s="106"/>
      <c r="D150" s="106"/>
      <c r="E150" s="106"/>
      <c r="F150" s="107"/>
      <c r="G150" s="106"/>
      <c r="H150" s="106"/>
    </row>
    <row r="151" spans="1:8" ht="18.75" x14ac:dyDescent="0.3">
      <c r="A151" s="105"/>
      <c r="B151" s="105"/>
      <c r="C151" s="106"/>
      <c r="D151" s="106"/>
      <c r="E151" s="106"/>
      <c r="F151" s="107"/>
      <c r="G151" s="106"/>
      <c r="H151" s="10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tabSelected="1" view="pageLayout" topLeftCell="A82" zoomScale="55" zoomScaleNormal="75" zoomScalePageLayoutView="55" workbookViewId="0">
      <selection activeCell="B28" sqref="B28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16" t="s">
        <v>29</v>
      </c>
      <c r="B1" s="416"/>
      <c r="C1" s="416"/>
      <c r="D1" s="416"/>
      <c r="E1" s="416"/>
      <c r="F1" s="416"/>
      <c r="G1" s="416"/>
      <c r="H1" s="416"/>
    </row>
    <row r="2" spans="1:8" x14ac:dyDescent="0.25">
      <c r="A2" s="416"/>
      <c r="B2" s="416"/>
      <c r="C2" s="416"/>
      <c r="D2" s="416"/>
      <c r="E2" s="416"/>
      <c r="F2" s="416"/>
      <c r="G2" s="416"/>
      <c r="H2" s="416"/>
    </row>
    <row r="3" spans="1:8" x14ac:dyDescent="0.25">
      <c r="A3" s="416"/>
      <c r="B3" s="416"/>
      <c r="C3" s="416"/>
      <c r="D3" s="416"/>
      <c r="E3" s="416"/>
      <c r="F3" s="416"/>
      <c r="G3" s="416"/>
      <c r="H3" s="416"/>
    </row>
    <row r="4" spans="1:8" x14ac:dyDescent="0.25">
      <c r="A4" s="416"/>
      <c r="B4" s="416"/>
      <c r="C4" s="416"/>
      <c r="D4" s="416"/>
      <c r="E4" s="416"/>
      <c r="F4" s="416"/>
      <c r="G4" s="416"/>
      <c r="H4" s="416"/>
    </row>
    <row r="5" spans="1:8" x14ac:dyDescent="0.25">
      <c r="A5" s="416"/>
      <c r="B5" s="416"/>
      <c r="C5" s="416"/>
      <c r="D5" s="416"/>
      <c r="E5" s="416"/>
      <c r="F5" s="416"/>
      <c r="G5" s="416"/>
      <c r="H5" s="416"/>
    </row>
    <row r="6" spans="1:8" x14ac:dyDescent="0.25">
      <c r="A6" s="416"/>
      <c r="B6" s="416"/>
      <c r="C6" s="416"/>
      <c r="D6" s="416"/>
      <c r="E6" s="416"/>
      <c r="F6" s="416"/>
      <c r="G6" s="416"/>
      <c r="H6" s="416"/>
    </row>
    <row r="7" spans="1:8" x14ac:dyDescent="0.25">
      <c r="A7" s="416"/>
      <c r="B7" s="416"/>
      <c r="C7" s="416"/>
      <c r="D7" s="416"/>
      <c r="E7" s="416"/>
      <c r="F7" s="416"/>
      <c r="G7" s="416"/>
      <c r="H7" s="416"/>
    </row>
    <row r="8" spans="1:8" x14ac:dyDescent="0.25">
      <c r="A8" s="417" t="s">
        <v>30</v>
      </c>
      <c r="B8" s="417"/>
      <c r="C8" s="417"/>
      <c r="D8" s="417"/>
      <c r="E8" s="417"/>
      <c r="F8" s="417"/>
      <c r="G8" s="417"/>
      <c r="H8" s="417"/>
    </row>
    <row r="9" spans="1:8" x14ac:dyDescent="0.25">
      <c r="A9" s="417"/>
      <c r="B9" s="417"/>
      <c r="C9" s="417"/>
      <c r="D9" s="417"/>
      <c r="E9" s="417"/>
      <c r="F9" s="417"/>
      <c r="G9" s="417"/>
      <c r="H9" s="417"/>
    </row>
    <row r="10" spans="1:8" x14ac:dyDescent="0.25">
      <c r="A10" s="417"/>
      <c r="B10" s="417"/>
      <c r="C10" s="417"/>
      <c r="D10" s="417"/>
      <c r="E10" s="417"/>
      <c r="F10" s="417"/>
      <c r="G10" s="417"/>
      <c r="H10" s="417"/>
    </row>
    <row r="11" spans="1:8" x14ac:dyDescent="0.25">
      <c r="A11" s="417"/>
      <c r="B11" s="417"/>
      <c r="C11" s="417"/>
      <c r="D11" s="417"/>
      <c r="E11" s="417"/>
      <c r="F11" s="417"/>
      <c r="G11" s="417"/>
      <c r="H11" s="417"/>
    </row>
    <row r="12" spans="1:8" x14ac:dyDescent="0.25">
      <c r="A12" s="417"/>
      <c r="B12" s="417"/>
      <c r="C12" s="417"/>
      <c r="D12" s="417"/>
      <c r="E12" s="417"/>
      <c r="F12" s="417"/>
      <c r="G12" s="417"/>
      <c r="H12" s="417"/>
    </row>
    <row r="13" spans="1:8" x14ac:dyDescent="0.25">
      <c r="A13" s="417"/>
      <c r="B13" s="417"/>
      <c r="C13" s="417"/>
      <c r="D13" s="417"/>
      <c r="E13" s="417"/>
      <c r="F13" s="417"/>
      <c r="G13" s="417"/>
      <c r="H13" s="417"/>
    </row>
    <row r="14" spans="1:8" x14ac:dyDescent="0.25">
      <c r="A14" s="417"/>
      <c r="B14" s="417"/>
      <c r="C14" s="417"/>
      <c r="D14" s="417"/>
      <c r="E14" s="417"/>
      <c r="F14" s="417"/>
      <c r="G14" s="417"/>
      <c r="H14" s="417"/>
    </row>
    <row r="15" spans="1:8" ht="19.5" customHeight="1" x14ac:dyDescent="0.25"/>
    <row r="16" spans="1:8" ht="19.5" customHeight="1" x14ac:dyDescent="0.25">
      <c r="A16" s="447" t="s">
        <v>31</v>
      </c>
      <c r="B16" s="448"/>
      <c r="C16" s="448"/>
      <c r="D16" s="448"/>
      <c r="E16" s="448"/>
      <c r="F16" s="448"/>
      <c r="G16" s="448"/>
      <c r="H16" s="449"/>
    </row>
    <row r="17" spans="1:13" ht="18.75" x14ac:dyDescent="0.3">
      <c r="A17" s="234" t="s">
        <v>32</v>
      </c>
      <c r="B17" s="234"/>
    </row>
    <row r="18" spans="1:13" ht="18.75" x14ac:dyDescent="0.3">
      <c r="A18" s="236" t="s">
        <v>33</v>
      </c>
      <c r="B18" s="450" t="s">
        <v>127</v>
      </c>
      <c r="C18" s="450"/>
      <c r="D18" s="327"/>
      <c r="E18" s="327"/>
    </row>
    <row r="19" spans="1:13" ht="18.75" x14ac:dyDescent="0.3">
      <c r="A19" s="236" t="s">
        <v>34</v>
      </c>
      <c r="B19" s="328" t="s">
        <v>7</v>
      </c>
      <c r="C19" s="412">
        <v>15</v>
      </c>
    </row>
    <row r="20" spans="1:13" ht="18.75" x14ac:dyDescent="0.3">
      <c r="A20" s="236" t="s">
        <v>35</v>
      </c>
      <c r="B20" s="328" t="s">
        <v>128</v>
      </c>
      <c r="C20" s="349"/>
    </row>
    <row r="21" spans="1:13" ht="18.75" x14ac:dyDescent="0.3">
      <c r="A21" s="236" t="s">
        <v>36</v>
      </c>
      <c r="B21" s="353" t="s">
        <v>129</v>
      </c>
      <c r="C21" s="353"/>
      <c r="D21" s="353"/>
      <c r="E21" s="353"/>
      <c r="F21" s="353"/>
      <c r="G21" s="353"/>
      <c r="H21" s="353"/>
    </row>
    <row r="22" spans="1:13" ht="18.75" x14ac:dyDescent="0.3">
      <c r="A22" s="236" t="s">
        <v>37</v>
      </c>
      <c r="B22" s="329" t="s">
        <v>130</v>
      </c>
      <c r="C22" s="349"/>
    </row>
    <row r="23" spans="1:13" ht="18.75" x14ac:dyDescent="0.3">
      <c r="A23" s="236" t="s">
        <v>38</v>
      </c>
      <c r="B23" s="329" t="s">
        <v>131</v>
      </c>
      <c r="C23" s="349"/>
    </row>
    <row r="24" spans="1:13" ht="18.75" x14ac:dyDescent="0.3">
      <c r="A24" s="236"/>
      <c r="B24" s="239"/>
    </row>
    <row r="25" spans="1:13" ht="18.75" x14ac:dyDescent="0.3">
      <c r="A25" s="240" t="s">
        <v>1</v>
      </c>
      <c r="B25" s="239"/>
    </row>
    <row r="26" spans="1:13" ht="26.25" customHeight="1" x14ac:dyDescent="0.4">
      <c r="A26" s="241" t="s">
        <v>4</v>
      </c>
      <c r="B26" s="430" t="s">
        <v>132</v>
      </c>
      <c r="C26" s="430"/>
    </row>
    <row r="27" spans="1:13" ht="26.25" customHeight="1" x14ac:dyDescent="0.4">
      <c r="A27" s="243" t="s">
        <v>39</v>
      </c>
      <c r="B27" s="382" t="s">
        <v>133</v>
      </c>
    </row>
    <row r="28" spans="1:13" ht="27" customHeight="1" x14ac:dyDescent="0.4">
      <c r="A28" s="243" t="s">
        <v>6</v>
      </c>
      <c r="B28" s="383">
        <v>99.7</v>
      </c>
    </row>
    <row r="29" spans="1:13" s="11" customFormat="1" ht="27" customHeight="1" x14ac:dyDescent="0.4">
      <c r="A29" s="243" t="s">
        <v>40</v>
      </c>
      <c r="B29" s="382">
        <v>0</v>
      </c>
      <c r="C29" s="431" t="s">
        <v>78</v>
      </c>
      <c r="D29" s="432"/>
      <c r="E29" s="432"/>
      <c r="F29" s="432"/>
      <c r="G29" s="433"/>
      <c r="I29" s="245"/>
      <c r="J29" s="245"/>
      <c r="K29" s="245"/>
    </row>
    <row r="30" spans="1:13" s="11" customFormat="1" ht="19.5" customHeight="1" x14ac:dyDescent="0.3">
      <c r="A30" s="243" t="s">
        <v>41</v>
      </c>
      <c r="B30" s="242">
        <f>B28-B29</f>
        <v>99.7</v>
      </c>
      <c r="C30" s="246"/>
      <c r="D30" s="246"/>
      <c r="E30" s="246"/>
      <c r="F30" s="246"/>
      <c r="G30" s="247"/>
      <c r="I30" s="245"/>
      <c r="J30" s="245"/>
      <c r="K30" s="245"/>
    </row>
    <row r="31" spans="1:13" s="11" customFormat="1" ht="27" customHeight="1" x14ac:dyDescent="0.4">
      <c r="A31" s="243" t="s">
        <v>42</v>
      </c>
      <c r="B31" s="384">
        <v>1</v>
      </c>
      <c r="C31" s="419" t="s">
        <v>43</v>
      </c>
      <c r="D31" s="420"/>
      <c r="E31" s="420"/>
      <c r="F31" s="420"/>
      <c r="G31" s="420"/>
      <c r="H31" s="434"/>
      <c r="I31" s="245"/>
      <c r="J31" s="245"/>
      <c r="K31" s="245"/>
    </row>
    <row r="32" spans="1:13" s="11" customFormat="1" ht="27" customHeight="1" x14ac:dyDescent="0.4">
      <c r="A32" s="243" t="s">
        <v>44</v>
      </c>
      <c r="B32" s="384">
        <v>1</v>
      </c>
      <c r="C32" s="419" t="s">
        <v>45</v>
      </c>
      <c r="D32" s="420"/>
      <c r="E32" s="420"/>
      <c r="F32" s="420"/>
      <c r="G32" s="420"/>
      <c r="H32" s="434"/>
      <c r="I32" s="245"/>
      <c r="J32" s="245"/>
      <c r="K32" s="249"/>
      <c r="L32" s="249"/>
      <c r="M32" s="250"/>
    </row>
    <row r="33" spans="1:13" s="11" customFormat="1" ht="17.25" customHeight="1" x14ac:dyDescent="0.3">
      <c r="A33" s="243"/>
      <c r="B33" s="248"/>
      <c r="C33" s="251"/>
      <c r="D33" s="251"/>
      <c r="E33" s="251"/>
      <c r="F33" s="251"/>
      <c r="G33" s="251"/>
      <c r="H33" s="251"/>
      <c r="I33" s="245"/>
      <c r="J33" s="245"/>
      <c r="K33" s="249"/>
      <c r="L33" s="249"/>
      <c r="M33" s="250"/>
    </row>
    <row r="34" spans="1:13" s="11" customFormat="1" ht="18.75" x14ac:dyDescent="0.3">
      <c r="A34" s="243" t="s">
        <v>46</v>
      </c>
      <c r="B34" s="252">
        <f>B31/B32</f>
        <v>1</v>
      </c>
      <c r="C34" s="235" t="s">
        <v>47</v>
      </c>
      <c r="D34" s="235"/>
      <c r="E34" s="235"/>
      <c r="F34" s="235"/>
      <c r="G34" s="235"/>
      <c r="I34" s="245"/>
      <c r="J34" s="245"/>
      <c r="K34" s="249"/>
      <c r="L34" s="249"/>
      <c r="M34" s="250"/>
    </row>
    <row r="35" spans="1:13" s="11" customFormat="1" ht="19.5" customHeight="1" x14ac:dyDescent="0.3">
      <c r="A35" s="243"/>
      <c r="B35" s="242"/>
      <c r="G35" s="235"/>
      <c r="I35" s="245"/>
      <c r="J35" s="245"/>
      <c r="K35" s="249"/>
      <c r="L35" s="249"/>
      <c r="M35" s="250"/>
    </row>
    <row r="36" spans="1:13" s="11" customFormat="1" ht="27" customHeight="1" x14ac:dyDescent="0.4">
      <c r="A36" s="253" t="s">
        <v>94</v>
      </c>
      <c r="B36" s="385">
        <v>25</v>
      </c>
      <c r="C36" s="235"/>
      <c r="D36" s="421" t="s">
        <v>48</v>
      </c>
      <c r="E36" s="435"/>
      <c r="F36" s="421" t="s">
        <v>49</v>
      </c>
      <c r="G36" s="422"/>
      <c r="I36" s="245"/>
      <c r="J36" s="245"/>
      <c r="K36" s="249"/>
      <c r="L36" s="249"/>
      <c r="M36" s="250"/>
    </row>
    <row r="37" spans="1:13" s="11" customFormat="1" ht="26.25" customHeight="1" x14ac:dyDescent="0.4">
      <c r="A37" s="254" t="s">
        <v>50</v>
      </c>
      <c r="B37" s="386">
        <v>2</v>
      </c>
      <c r="C37" s="256" t="s">
        <v>95</v>
      </c>
      <c r="D37" s="257" t="s">
        <v>52</v>
      </c>
      <c r="E37" s="314" t="s">
        <v>53</v>
      </c>
      <c r="F37" s="257" t="s">
        <v>52</v>
      </c>
      <c r="G37" s="258" t="s">
        <v>53</v>
      </c>
      <c r="I37" s="245"/>
      <c r="J37" s="245"/>
      <c r="K37" s="249"/>
      <c r="L37" s="249"/>
      <c r="M37" s="250"/>
    </row>
    <row r="38" spans="1:13" s="11" customFormat="1" ht="26.25" customHeight="1" x14ac:dyDescent="0.4">
      <c r="A38" s="254" t="s">
        <v>54</v>
      </c>
      <c r="B38" s="386">
        <v>20</v>
      </c>
      <c r="C38" s="259">
        <v>1</v>
      </c>
      <c r="D38" s="387">
        <v>33354439</v>
      </c>
      <c r="E38" s="330">
        <f>IF(ISBLANK(D38),"-",$D$48/$D$45*D38)</f>
        <v>42383619.185258478</v>
      </c>
      <c r="F38" s="387">
        <v>30507006</v>
      </c>
      <c r="G38" s="333">
        <f>IF(ISBLANK(F38),"-",$D$48/$F$45*F38)</f>
        <v>43259381.348569743</v>
      </c>
      <c r="I38" s="245"/>
      <c r="J38" s="245"/>
      <c r="K38" s="249"/>
      <c r="L38" s="249"/>
      <c r="M38" s="250"/>
    </row>
    <row r="39" spans="1:13" s="11" customFormat="1" ht="26.25" customHeight="1" x14ac:dyDescent="0.4">
      <c r="A39" s="254" t="s">
        <v>55</v>
      </c>
      <c r="B39" s="386">
        <v>1</v>
      </c>
      <c r="C39" s="255">
        <v>2</v>
      </c>
      <c r="D39" s="388">
        <v>33342248</v>
      </c>
      <c r="E39" s="331">
        <f>IF(ISBLANK(D39),"-",$D$48/$D$45*D39)</f>
        <v>42368128.032746889</v>
      </c>
      <c r="F39" s="388">
        <v>30549557</v>
      </c>
      <c r="G39" s="334">
        <f>IF(ISBLANK(F39),"-",$D$48/$F$45*F39)</f>
        <v>43319719.289820448</v>
      </c>
      <c r="I39" s="245"/>
      <c r="J39" s="245"/>
      <c r="K39" s="249"/>
      <c r="L39" s="249"/>
      <c r="M39" s="250"/>
    </row>
    <row r="40" spans="1:13" ht="26.25" customHeight="1" x14ac:dyDescent="0.4">
      <c r="A40" s="254" t="s">
        <v>56</v>
      </c>
      <c r="B40" s="386">
        <v>1</v>
      </c>
      <c r="C40" s="255">
        <v>3</v>
      </c>
      <c r="D40" s="388">
        <v>33359901</v>
      </c>
      <c r="E40" s="331">
        <f>IF(ISBLANK(D40),"-",$D$48/$D$45*D40)</f>
        <v>42390559.770527795</v>
      </c>
      <c r="F40" s="388">
        <v>30539769</v>
      </c>
      <c r="G40" s="334">
        <f>IF(ISBLANK(F40),"-",$D$48/$F$45*F40)</f>
        <v>43305839.762454182</v>
      </c>
      <c r="K40" s="249"/>
      <c r="L40" s="249"/>
      <c r="M40" s="261"/>
    </row>
    <row r="41" spans="1:13" ht="26.25" customHeight="1" x14ac:dyDescent="0.4">
      <c r="A41" s="254" t="s">
        <v>57</v>
      </c>
      <c r="B41" s="386">
        <v>1</v>
      </c>
      <c r="C41" s="262">
        <v>4</v>
      </c>
      <c r="D41" s="389"/>
      <c r="E41" s="332" t="str">
        <f>IF(ISBLANK(D41),"-",$D$48/$D$45*D41)</f>
        <v>-</v>
      </c>
      <c r="F41" s="389"/>
      <c r="G41" s="335" t="str">
        <f>IF(ISBLANK(F41),"-",$D$48/$F$45*F41)</f>
        <v>-</v>
      </c>
      <c r="K41" s="249"/>
      <c r="L41" s="249"/>
      <c r="M41" s="261"/>
    </row>
    <row r="42" spans="1:13" ht="27" customHeight="1" x14ac:dyDescent="0.4">
      <c r="A42" s="254" t="s">
        <v>58</v>
      </c>
      <c r="B42" s="386">
        <v>1</v>
      </c>
      <c r="C42" s="264" t="s">
        <v>59</v>
      </c>
      <c r="D42" s="364">
        <f>AVERAGE(D38:D41)</f>
        <v>33352196</v>
      </c>
      <c r="E42" s="289">
        <f>AVERAGE(E38:E41)</f>
        <v>42380768.996177718</v>
      </c>
      <c r="F42" s="265">
        <f>AVERAGE(F38:F41)</f>
        <v>30532110.666666668</v>
      </c>
      <c r="G42" s="266">
        <f>AVERAGE(G38:G41)</f>
        <v>43294980.133614786</v>
      </c>
      <c r="H42" s="350"/>
    </row>
    <row r="43" spans="1:13" ht="26.25" customHeight="1" x14ac:dyDescent="0.4">
      <c r="A43" s="254" t="s">
        <v>60</v>
      </c>
      <c r="B43" s="383">
        <v>1</v>
      </c>
      <c r="C43" s="365" t="s">
        <v>61</v>
      </c>
      <c r="D43" s="390">
        <v>11.84</v>
      </c>
      <c r="E43" s="261"/>
      <c r="F43" s="391">
        <v>10.61</v>
      </c>
      <c r="H43" s="350"/>
    </row>
    <row r="44" spans="1:13" ht="26.25" customHeight="1" x14ac:dyDescent="0.4">
      <c r="A44" s="254" t="s">
        <v>62</v>
      </c>
      <c r="B44" s="383">
        <v>1</v>
      </c>
      <c r="C44" s="366" t="s">
        <v>63</v>
      </c>
      <c r="D44" s="367">
        <f>D43*$B$34</f>
        <v>11.84</v>
      </c>
      <c r="E44" s="268"/>
      <c r="F44" s="267">
        <f>F43*$B$34</f>
        <v>10.61</v>
      </c>
      <c r="H44" s="350"/>
    </row>
    <row r="45" spans="1:13" ht="19.5" customHeight="1" x14ac:dyDescent="0.3">
      <c r="A45" s="254" t="s">
        <v>64</v>
      </c>
      <c r="B45" s="363">
        <f>(B44/B43)*(B42/B41)*(B40/B39)*(B38/B37)*B36</f>
        <v>250</v>
      </c>
      <c r="C45" s="366" t="s">
        <v>65</v>
      </c>
      <c r="D45" s="368">
        <f>D44*$B$30/100</f>
        <v>11.804480000000002</v>
      </c>
      <c r="E45" s="270"/>
      <c r="F45" s="269">
        <f>F44*$B$30/100</f>
        <v>10.57817</v>
      </c>
      <c r="H45" s="350"/>
    </row>
    <row r="46" spans="1:13" ht="19.5" customHeight="1" x14ac:dyDescent="0.3">
      <c r="A46" s="423" t="s">
        <v>66</v>
      </c>
      <c r="B46" s="428"/>
      <c r="C46" s="366" t="s">
        <v>67</v>
      </c>
      <c r="D46" s="367">
        <f>D45/$B$45</f>
        <v>4.7217920000000003E-2</v>
      </c>
      <c r="E46" s="270"/>
      <c r="F46" s="271">
        <f>F45/$B$45</f>
        <v>4.2312679999999998E-2</v>
      </c>
      <c r="H46" s="350"/>
    </row>
    <row r="47" spans="1:13" ht="27" customHeight="1" x14ac:dyDescent="0.4">
      <c r="A47" s="425"/>
      <c r="B47" s="429"/>
      <c r="C47" s="366" t="s">
        <v>68</v>
      </c>
      <c r="D47" s="392">
        <f>15/25*2/20</f>
        <v>0.06</v>
      </c>
      <c r="F47" s="273"/>
      <c r="H47" s="350"/>
    </row>
    <row r="48" spans="1:13" ht="18.75" x14ac:dyDescent="0.3">
      <c r="C48" s="366" t="s">
        <v>69</v>
      </c>
      <c r="D48" s="367">
        <f>D47*$B$45</f>
        <v>15</v>
      </c>
      <c r="F48" s="273"/>
      <c r="H48" s="350"/>
    </row>
    <row r="49" spans="1:11" ht="19.5" customHeight="1" x14ac:dyDescent="0.3">
      <c r="C49" s="369" t="s">
        <v>70</v>
      </c>
      <c r="D49" s="370">
        <f>D48/B34</f>
        <v>15</v>
      </c>
      <c r="F49" s="276"/>
      <c r="H49" s="350"/>
    </row>
    <row r="50" spans="1:11" ht="18.75" x14ac:dyDescent="0.3">
      <c r="C50" s="371" t="s">
        <v>71</v>
      </c>
      <c r="D50" s="372">
        <f>AVERAGE(E38:E41,G38:G41)</f>
        <v>42837874.564896248</v>
      </c>
      <c r="F50" s="276"/>
      <c r="H50" s="350"/>
    </row>
    <row r="51" spans="1:11" ht="18.75" x14ac:dyDescent="0.3">
      <c r="C51" s="272" t="s">
        <v>72</v>
      </c>
      <c r="D51" s="277">
        <f>STDEV(E38:E41,G38:G41)/D50</f>
        <v>1.1699585999627339E-2</v>
      </c>
      <c r="F51" s="276"/>
    </row>
    <row r="52" spans="1:11" ht="19.5" customHeight="1" x14ac:dyDescent="0.3">
      <c r="C52" s="274" t="s">
        <v>18</v>
      </c>
      <c r="D52" s="278">
        <f>COUNT(E38:E41,G38:G41)</f>
        <v>6</v>
      </c>
      <c r="F52" s="276"/>
    </row>
    <row r="54" spans="1:11" ht="18.75" x14ac:dyDescent="0.3">
      <c r="A54" s="234" t="s">
        <v>1</v>
      </c>
      <c r="B54" s="279" t="s">
        <v>73</v>
      </c>
    </row>
    <row r="55" spans="1:11" ht="18.75" x14ac:dyDescent="0.3">
      <c r="A55" s="235" t="s">
        <v>74</v>
      </c>
      <c r="B55" s="238" t="str">
        <f>B21</f>
        <v>each film coated tablet contains Abacavir sulphate equivvalent to abacavir 60 mg and Lamivudine USP 30 MG</v>
      </c>
    </row>
    <row r="56" spans="1:11" ht="26.25" customHeight="1" x14ac:dyDescent="0.4">
      <c r="A56" s="237" t="s">
        <v>96</v>
      </c>
      <c r="B56" s="382">
        <v>30</v>
      </c>
      <c r="C56" s="235" t="str">
        <f>B20</f>
        <v xml:space="preserve">ABACAVIR LAMIVUDINE </v>
      </c>
      <c r="H56" s="244"/>
    </row>
    <row r="57" spans="1:11" ht="18.75" x14ac:dyDescent="0.3">
      <c r="A57" s="238" t="s">
        <v>97</v>
      </c>
      <c r="B57" s="413">
        <f>Uniformity!C46</f>
        <v>147.131</v>
      </c>
      <c r="H57" s="244"/>
    </row>
    <row r="58" spans="1:11" ht="19.5" customHeight="1" x14ac:dyDescent="0.3">
      <c r="H58" s="244"/>
    </row>
    <row r="59" spans="1:11" s="11" customFormat="1" ht="27" customHeight="1" x14ac:dyDescent="0.4">
      <c r="A59" s="253" t="s">
        <v>98</v>
      </c>
      <c r="B59" s="385">
        <v>100</v>
      </c>
      <c r="C59" s="235"/>
      <c r="D59" s="281" t="s">
        <v>99</v>
      </c>
      <c r="E59" s="280" t="s">
        <v>51</v>
      </c>
      <c r="F59" s="280" t="s">
        <v>52</v>
      </c>
      <c r="G59" s="280" t="s">
        <v>100</v>
      </c>
      <c r="H59" s="256" t="s">
        <v>101</v>
      </c>
      <c r="K59" s="245"/>
    </row>
    <row r="60" spans="1:11" s="11" customFormat="1" ht="22.5" customHeight="1" x14ac:dyDescent="0.4">
      <c r="A60" s="254" t="s">
        <v>83</v>
      </c>
      <c r="B60" s="386">
        <v>2</v>
      </c>
      <c r="C60" s="436" t="s">
        <v>102</v>
      </c>
      <c r="D60" s="440">
        <v>280.5</v>
      </c>
      <c r="E60" s="282">
        <v>1</v>
      </c>
      <c r="F60" s="394">
        <v>41321779</v>
      </c>
      <c r="G60" s="318">
        <f>IF(ISBLANK(F60),"-",(F60/$D$50*$D$47*$B$68)*($B$57/$D$60))</f>
        <v>30.358035700112815</v>
      </c>
      <c r="H60" s="320">
        <f t="shared" ref="H60:H71" si="0">IF(ISBLANK(F60),"-",G60/$B$56)</f>
        <v>1.0119345233370938</v>
      </c>
      <c r="K60" s="245"/>
    </row>
    <row r="61" spans="1:11" s="11" customFormat="1" ht="26.25" customHeight="1" x14ac:dyDescent="0.4">
      <c r="A61" s="254" t="s">
        <v>84</v>
      </c>
      <c r="B61" s="386">
        <v>20</v>
      </c>
      <c r="C61" s="437"/>
      <c r="D61" s="441"/>
      <c r="E61" s="283">
        <v>2</v>
      </c>
      <c r="F61" s="388">
        <v>41345787</v>
      </c>
      <c r="G61" s="319">
        <f>IF(ISBLANK(F61),"-",(F61/$D$50*$D$47*$B$68)*($B$57/$D$60))</f>
        <v>30.375673752944184</v>
      </c>
      <c r="H61" s="321">
        <f t="shared" si="0"/>
        <v>1.0125224584314727</v>
      </c>
      <c r="K61" s="245"/>
    </row>
    <row r="62" spans="1:11" s="11" customFormat="1" ht="26.25" customHeight="1" x14ac:dyDescent="0.4">
      <c r="A62" s="254" t="s">
        <v>85</v>
      </c>
      <c r="B62" s="386">
        <v>1</v>
      </c>
      <c r="C62" s="437"/>
      <c r="D62" s="441"/>
      <c r="E62" s="283">
        <v>3</v>
      </c>
      <c r="F62" s="388">
        <v>41340971</v>
      </c>
      <c r="G62" s="319">
        <f>IF(ISBLANK(F62),"-",(F62/$D$50*$D$47*$B$68)*($B$57/$D$60))</f>
        <v>30.37213556307265</v>
      </c>
      <c r="H62" s="321">
        <f t="shared" si="0"/>
        <v>1.0124045187690884</v>
      </c>
      <c r="K62" s="245"/>
    </row>
    <row r="63" spans="1:11" ht="21" customHeight="1" x14ac:dyDescent="0.4">
      <c r="A63" s="254" t="s">
        <v>86</v>
      </c>
      <c r="B63" s="386">
        <v>1</v>
      </c>
      <c r="C63" s="438"/>
      <c r="D63" s="442"/>
      <c r="E63" s="284">
        <v>4</v>
      </c>
      <c r="F63" s="395"/>
      <c r="G63" s="319" t="str">
        <f>IF(ISBLANK(F63),"-",(F63/$D$50*$D$47*$B$68)*($B$57/$D$60))</f>
        <v>-</v>
      </c>
      <c r="H63" s="321" t="str">
        <f t="shared" si="0"/>
        <v>-</v>
      </c>
    </row>
    <row r="64" spans="1:11" ht="26.25" customHeight="1" x14ac:dyDescent="0.4">
      <c r="A64" s="254" t="s">
        <v>87</v>
      </c>
      <c r="B64" s="386">
        <v>1</v>
      </c>
      <c r="C64" s="436" t="s">
        <v>103</v>
      </c>
      <c r="D64" s="440">
        <v>296.18</v>
      </c>
      <c r="E64" s="282">
        <v>1</v>
      </c>
      <c r="F64" s="394">
        <v>43315186</v>
      </c>
      <c r="G64" s="346">
        <f>IF(ISBLANK(F64),"-",(F64/$D$50*$D$47*$B$68)*($B$57/$D$64))</f>
        <v>30.137829885139887</v>
      </c>
      <c r="H64" s="343">
        <f t="shared" si="0"/>
        <v>1.0045943295046629</v>
      </c>
    </row>
    <row r="65" spans="1:8" ht="26.25" customHeight="1" x14ac:dyDescent="0.4">
      <c r="A65" s="254" t="s">
        <v>88</v>
      </c>
      <c r="B65" s="386">
        <v>1</v>
      </c>
      <c r="C65" s="437"/>
      <c r="D65" s="441"/>
      <c r="E65" s="283">
        <v>2</v>
      </c>
      <c r="F65" s="388">
        <v>43389338</v>
      </c>
      <c r="G65" s="347">
        <f>IF(ISBLANK(F65),"-",(F65/$D$50*$D$47*$B$68)*($B$57/$D$64))</f>
        <v>30.189423346187077</v>
      </c>
      <c r="H65" s="344">
        <f t="shared" si="0"/>
        <v>1.0063141115395693</v>
      </c>
    </row>
    <row r="66" spans="1:8" ht="26.25" customHeight="1" x14ac:dyDescent="0.4">
      <c r="A66" s="254" t="s">
        <v>89</v>
      </c>
      <c r="B66" s="386">
        <v>1</v>
      </c>
      <c r="C66" s="437"/>
      <c r="D66" s="441"/>
      <c r="E66" s="283">
        <v>3</v>
      </c>
      <c r="F66" s="388">
        <v>43493715</v>
      </c>
      <c r="G66" s="347">
        <f>IF(ISBLANK(F66),"-",(F66/$D$50*$D$47*$B$68)*($B$57/$D$64))</f>
        <v>30.2620467505959</v>
      </c>
      <c r="H66" s="344">
        <f t="shared" si="0"/>
        <v>1.00873489168653</v>
      </c>
    </row>
    <row r="67" spans="1:8" ht="21" customHeight="1" x14ac:dyDescent="0.4">
      <c r="A67" s="254" t="s">
        <v>90</v>
      </c>
      <c r="B67" s="386">
        <v>1</v>
      </c>
      <c r="C67" s="438"/>
      <c r="D67" s="442"/>
      <c r="E67" s="284">
        <v>4</v>
      </c>
      <c r="F67" s="395"/>
      <c r="G67" s="348" t="str">
        <f>IF(ISBLANK(F67),"-",(F67/$D$50*$D$47*$B$68)*($B$57/$D$64))</f>
        <v>-</v>
      </c>
      <c r="H67" s="345" t="str">
        <f t="shared" si="0"/>
        <v>-</v>
      </c>
    </row>
    <row r="68" spans="1:8" ht="21.75" customHeight="1" x14ac:dyDescent="0.4">
      <c r="A68" s="254" t="s">
        <v>91</v>
      </c>
      <c r="B68" s="355">
        <f>(B67/B66)*(B65/B64)*(B63/B62)*(B61/B60)*B59</f>
        <v>1000</v>
      </c>
      <c r="C68" s="436" t="s">
        <v>104</v>
      </c>
      <c r="D68" s="440">
        <v>305.81</v>
      </c>
      <c r="E68" s="282">
        <v>1</v>
      </c>
      <c r="F68" s="394">
        <v>44916621</v>
      </c>
      <c r="G68" s="346">
        <f>IF(ISBLANK(F68),"-",(F68/$D$50*$D$47*$B$68)*($B$57/$D$68))</f>
        <v>30.26794367493833</v>
      </c>
      <c r="H68" s="321">
        <f t="shared" si="0"/>
        <v>1.0089314558312776</v>
      </c>
    </row>
    <row r="69" spans="1:8" ht="21.75" customHeight="1" x14ac:dyDescent="0.4">
      <c r="A69" s="373" t="s">
        <v>105</v>
      </c>
      <c r="B69" s="393">
        <f>D47*B68/B56*B57</f>
        <v>294.262</v>
      </c>
      <c r="C69" s="437"/>
      <c r="D69" s="441"/>
      <c r="E69" s="283">
        <v>2</v>
      </c>
      <c r="F69" s="388">
        <v>44994846</v>
      </c>
      <c r="G69" s="347">
        <f>IF(ISBLANK(F69),"-",(F69/$D$50*$D$47*$B$68)*($B$57/$D$68))</f>
        <v>30.320657121347665</v>
      </c>
      <c r="H69" s="321">
        <f t="shared" si="0"/>
        <v>1.0106885707115889</v>
      </c>
    </row>
    <row r="70" spans="1:8" ht="22.5" customHeight="1" x14ac:dyDescent="0.4">
      <c r="A70" s="443" t="s">
        <v>66</v>
      </c>
      <c r="B70" s="444"/>
      <c r="C70" s="437"/>
      <c r="D70" s="441"/>
      <c r="E70" s="283">
        <v>3</v>
      </c>
      <c r="F70" s="388">
        <v>44925448</v>
      </c>
      <c r="G70" s="347">
        <f>IF(ISBLANK(F70),"-",(F70/$D$50*$D$47*$B$68)*($B$57/$D$68))</f>
        <v>30.273891921553286</v>
      </c>
      <c r="H70" s="321">
        <f t="shared" si="0"/>
        <v>1.0091297307184428</v>
      </c>
    </row>
    <row r="71" spans="1:8" ht="21.75" customHeight="1" x14ac:dyDescent="0.4">
      <c r="A71" s="445"/>
      <c r="B71" s="446"/>
      <c r="C71" s="439"/>
      <c r="D71" s="442"/>
      <c r="E71" s="284">
        <v>4</v>
      </c>
      <c r="F71" s="395"/>
      <c r="G71" s="348" t="str">
        <f>IF(ISBLANK(F71),"-",(F71/$D$50*$D$47*$B$68)*($B$57/$D$68))</f>
        <v>-</v>
      </c>
      <c r="H71" s="322" t="str">
        <f t="shared" si="0"/>
        <v>-</v>
      </c>
    </row>
    <row r="72" spans="1:8" ht="26.25" customHeight="1" x14ac:dyDescent="0.4">
      <c r="A72" s="285"/>
      <c r="B72" s="285"/>
      <c r="C72" s="285"/>
      <c r="D72" s="285"/>
      <c r="E72" s="285"/>
      <c r="F72" s="286"/>
      <c r="G72" s="275" t="s">
        <v>59</v>
      </c>
      <c r="H72" s="396">
        <f>AVERAGE(H60:H71)</f>
        <v>1.0094727322810806</v>
      </c>
    </row>
    <row r="73" spans="1:8" ht="26.25" customHeight="1" x14ac:dyDescent="0.4">
      <c r="C73" s="285"/>
      <c r="D73" s="285"/>
      <c r="E73" s="285"/>
      <c r="F73" s="286"/>
      <c r="G73" s="272" t="s">
        <v>72</v>
      </c>
      <c r="H73" s="397">
        <f>STDEV(H60:H71)/H72</f>
        <v>2.7166557165871253E-3</v>
      </c>
    </row>
    <row r="74" spans="1:8" ht="27" customHeight="1" x14ac:dyDescent="0.4">
      <c r="A74" s="285"/>
      <c r="B74" s="285"/>
      <c r="C74" s="286"/>
      <c r="D74" s="286"/>
      <c r="E74" s="287"/>
      <c r="F74" s="286"/>
      <c r="G74" s="274" t="s">
        <v>18</v>
      </c>
      <c r="H74" s="398">
        <f>COUNT(H60:H71)</f>
        <v>9</v>
      </c>
    </row>
    <row r="75" spans="1:8" ht="18.75" x14ac:dyDescent="0.3">
      <c r="A75" s="285"/>
      <c r="B75" s="285"/>
      <c r="C75" s="286"/>
      <c r="D75" s="286"/>
      <c r="E75" s="287"/>
      <c r="F75" s="286"/>
      <c r="G75" s="307"/>
      <c r="H75" s="362"/>
    </row>
    <row r="76" spans="1:8" ht="18.75" x14ac:dyDescent="0.3">
      <c r="A76" s="241" t="s">
        <v>75</v>
      </c>
      <c r="B76" s="379" t="s">
        <v>92</v>
      </c>
      <c r="C76" s="427" t="str">
        <f>B20</f>
        <v xml:space="preserve">ABACAVIR LAMIVUDINE </v>
      </c>
      <c r="D76" s="427"/>
      <c r="E76" s="380" t="s">
        <v>76</v>
      </c>
      <c r="F76" s="380"/>
      <c r="G76" s="381">
        <f>H72</f>
        <v>1.0094727322810806</v>
      </c>
      <c r="H76" s="362"/>
    </row>
    <row r="77" spans="1:8" ht="18.75" x14ac:dyDescent="0.3">
      <c r="A77" s="285"/>
      <c r="B77" s="285"/>
      <c r="C77" s="286"/>
      <c r="D77" s="286"/>
      <c r="E77" s="287"/>
      <c r="F77" s="286"/>
      <c r="G77" s="307"/>
      <c r="H77" s="362"/>
    </row>
    <row r="78" spans="1:8" ht="26.25" customHeight="1" x14ac:dyDescent="0.4">
      <c r="A78" s="240" t="s">
        <v>106</v>
      </c>
      <c r="B78" s="240" t="s">
        <v>107</v>
      </c>
      <c r="D78" s="402" t="s">
        <v>108</v>
      </c>
    </row>
    <row r="79" spans="1:8" ht="18.75" x14ac:dyDescent="0.3">
      <c r="A79" s="240"/>
      <c r="B79" s="240"/>
    </row>
    <row r="80" spans="1:8" ht="26.25" customHeight="1" x14ac:dyDescent="0.4">
      <c r="A80" s="241" t="s">
        <v>4</v>
      </c>
      <c r="B80" s="430" t="str">
        <f>B26</f>
        <v>Lamivudine</v>
      </c>
      <c r="C80" s="430"/>
    </row>
    <row r="81" spans="1:11" ht="26.25" customHeight="1" x14ac:dyDescent="0.4">
      <c r="A81" s="243" t="s">
        <v>39</v>
      </c>
      <c r="B81" s="382" t="str">
        <f>B27</f>
        <v>L1 001</v>
      </c>
    </row>
    <row r="82" spans="1:11" ht="27" customHeight="1" x14ac:dyDescent="0.4">
      <c r="A82" s="243" t="s">
        <v>6</v>
      </c>
      <c r="B82" s="382">
        <f>B28</f>
        <v>99.7</v>
      </c>
    </row>
    <row r="83" spans="1:11" s="11" customFormat="1" ht="27" customHeight="1" x14ac:dyDescent="0.4">
      <c r="A83" s="243" t="s">
        <v>40</v>
      </c>
      <c r="B83" s="382">
        <f>B29</f>
        <v>0</v>
      </c>
      <c r="C83" s="431" t="s">
        <v>78</v>
      </c>
      <c r="D83" s="432"/>
      <c r="E83" s="432"/>
      <c r="F83" s="432"/>
      <c r="G83" s="433"/>
      <c r="I83" s="245"/>
      <c r="J83" s="245"/>
      <c r="K83" s="245"/>
    </row>
    <row r="84" spans="1:11" s="11" customFormat="1" ht="19.5" customHeight="1" x14ac:dyDescent="0.3">
      <c r="A84" s="243" t="s">
        <v>41</v>
      </c>
      <c r="B84" s="242">
        <f>B82-B83</f>
        <v>99.7</v>
      </c>
      <c r="C84" s="246"/>
      <c r="D84" s="246"/>
      <c r="E84" s="246"/>
      <c r="F84" s="246"/>
      <c r="G84" s="247"/>
      <c r="I84" s="245"/>
      <c r="J84" s="245"/>
      <c r="K84" s="245"/>
    </row>
    <row r="85" spans="1:11" s="11" customFormat="1" ht="27" customHeight="1" x14ac:dyDescent="0.4">
      <c r="A85" s="243" t="s">
        <v>42</v>
      </c>
      <c r="B85" s="384">
        <v>1</v>
      </c>
      <c r="C85" s="419" t="s">
        <v>43</v>
      </c>
      <c r="D85" s="420"/>
      <c r="E85" s="420"/>
      <c r="F85" s="420"/>
      <c r="G85" s="420"/>
      <c r="H85" s="434"/>
      <c r="I85" s="245"/>
      <c r="J85" s="245"/>
      <c r="K85" s="245"/>
    </row>
    <row r="86" spans="1:11" s="11" customFormat="1" ht="27" customHeight="1" x14ac:dyDescent="0.4">
      <c r="A86" s="243" t="s">
        <v>44</v>
      </c>
      <c r="B86" s="384">
        <v>1</v>
      </c>
      <c r="C86" s="419" t="s">
        <v>45</v>
      </c>
      <c r="D86" s="420"/>
      <c r="E86" s="420"/>
      <c r="F86" s="420"/>
      <c r="G86" s="420"/>
      <c r="H86" s="434"/>
      <c r="I86" s="245"/>
      <c r="J86" s="245"/>
      <c r="K86" s="245"/>
    </row>
    <row r="87" spans="1:11" s="11" customFormat="1" ht="18.75" x14ac:dyDescent="0.3">
      <c r="A87" s="243"/>
      <c r="B87" s="242"/>
      <c r="C87" s="246"/>
      <c r="D87" s="246"/>
      <c r="E87" s="246"/>
      <c r="F87" s="246"/>
      <c r="G87" s="247"/>
      <c r="I87" s="245"/>
      <c r="J87" s="245"/>
      <c r="K87" s="245"/>
    </row>
    <row r="88" spans="1:11" s="11" customFormat="1" ht="18.75" x14ac:dyDescent="0.3">
      <c r="A88" s="243" t="s">
        <v>46</v>
      </c>
      <c r="B88" s="252">
        <f>B85/B86</f>
        <v>1</v>
      </c>
      <c r="C88" s="235" t="s">
        <v>47</v>
      </c>
      <c r="D88" s="246"/>
      <c r="E88" s="246"/>
      <c r="F88" s="246"/>
      <c r="G88" s="247"/>
      <c r="I88" s="245"/>
      <c r="J88" s="245"/>
      <c r="K88" s="245"/>
    </row>
    <row r="89" spans="1:11" ht="19.5" customHeight="1" x14ac:dyDescent="0.3">
      <c r="A89" s="240"/>
      <c r="B89" s="240"/>
    </row>
    <row r="90" spans="1:11" ht="27" customHeight="1" x14ac:dyDescent="0.4">
      <c r="A90" s="253" t="s">
        <v>94</v>
      </c>
      <c r="B90" s="385">
        <v>25</v>
      </c>
      <c r="D90" s="316" t="s">
        <v>48</v>
      </c>
      <c r="E90" s="317"/>
      <c r="F90" s="421" t="s">
        <v>49</v>
      </c>
      <c r="G90" s="422"/>
    </row>
    <row r="91" spans="1:11" ht="26.25" customHeight="1" x14ac:dyDescent="0.4">
      <c r="A91" s="254" t="s">
        <v>50</v>
      </c>
      <c r="B91" s="386">
        <v>2</v>
      </c>
      <c r="C91" s="313" t="s">
        <v>95</v>
      </c>
      <c r="D91" s="257" t="s">
        <v>52</v>
      </c>
      <c r="E91" s="314" t="s">
        <v>53</v>
      </c>
      <c r="F91" s="257" t="s">
        <v>52</v>
      </c>
      <c r="G91" s="258" t="s">
        <v>53</v>
      </c>
    </row>
    <row r="92" spans="1:11" ht="26.25" customHeight="1" x14ac:dyDescent="0.4">
      <c r="A92" s="254" t="s">
        <v>54</v>
      </c>
      <c r="B92" s="386">
        <v>20</v>
      </c>
      <c r="C92" s="311">
        <v>1</v>
      </c>
      <c r="D92" s="387">
        <v>16765647</v>
      </c>
      <c r="E92" s="330">
        <f>IF(ISBLANK(D92),"-",$D$102/$D$99*D92)</f>
        <v>23671305.301038247</v>
      </c>
      <c r="F92" s="387">
        <v>15350948</v>
      </c>
      <c r="G92" s="333">
        <f>IF(ISBLANK(F92),"-",$D$102/$F$99*F92)</f>
        <v>24186521.235084455</v>
      </c>
    </row>
    <row r="93" spans="1:11" ht="26.25" customHeight="1" x14ac:dyDescent="0.4">
      <c r="A93" s="254" t="s">
        <v>55</v>
      </c>
      <c r="B93" s="386">
        <v>5</v>
      </c>
      <c r="C93" s="286">
        <v>2</v>
      </c>
      <c r="D93" s="388">
        <v>16750286</v>
      </c>
      <c r="E93" s="331">
        <f>IF(ISBLANK(D93),"-",$D$102/$D$99*D93)</f>
        <v>23649617.207478289</v>
      </c>
      <c r="F93" s="388">
        <v>15379910</v>
      </c>
      <c r="G93" s="334">
        <f>IF(ISBLANK(F93),"-",$D$102/$F$99*F93)</f>
        <v>24232152.946429614</v>
      </c>
    </row>
    <row r="94" spans="1:11" ht="26.25" customHeight="1" x14ac:dyDescent="0.4">
      <c r="A94" s="254" t="s">
        <v>56</v>
      </c>
      <c r="B94" s="386">
        <v>10</v>
      </c>
      <c r="C94" s="286">
        <v>3</v>
      </c>
      <c r="D94" s="388">
        <v>16772320</v>
      </c>
      <c r="E94" s="331">
        <f>IF(ISBLANK(D94),"-",$D$102/$D$99*D94)</f>
        <v>23680726.865280524</v>
      </c>
      <c r="F94" s="388">
        <v>15380072</v>
      </c>
      <c r="G94" s="334">
        <f>IF(ISBLANK(F94),"-",$D$102/$F$99*F94)</f>
        <v>24232408.189066101</v>
      </c>
    </row>
    <row r="95" spans="1:11" ht="26.25" customHeight="1" x14ac:dyDescent="0.4">
      <c r="A95" s="254" t="s">
        <v>57</v>
      </c>
      <c r="B95" s="386">
        <v>1</v>
      </c>
      <c r="C95" s="315">
        <v>4</v>
      </c>
      <c r="D95" s="389"/>
      <c r="E95" s="332" t="str">
        <f>IF(ISBLANK(D95),"-",$D$102/$D$99*D95)</f>
        <v>-</v>
      </c>
      <c r="F95" s="399"/>
      <c r="G95" s="335" t="str">
        <f>IF(ISBLANK(F95),"-",$D$102/$F$99*F95)</f>
        <v>-</v>
      </c>
    </row>
    <row r="96" spans="1:11" ht="27" customHeight="1" x14ac:dyDescent="0.4">
      <c r="A96" s="254" t="s">
        <v>58</v>
      </c>
      <c r="B96" s="386">
        <v>1</v>
      </c>
      <c r="C96" s="307" t="s">
        <v>59</v>
      </c>
      <c r="D96" s="374">
        <f>AVERAGE(D92:D95)</f>
        <v>16762751</v>
      </c>
      <c r="E96" s="289">
        <f>AVERAGE(E92:E95)</f>
        <v>23667216.457932353</v>
      </c>
      <c r="F96" s="312">
        <f>AVERAGE(F92:F95)</f>
        <v>15370310</v>
      </c>
      <c r="G96" s="336">
        <f>AVERAGE(G92:G95)</f>
        <v>24217027.456860054</v>
      </c>
    </row>
    <row r="97" spans="1:9" ht="26.25" customHeight="1" x14ac:dyDescent="0.4">
      <c r="A97" s="254" t="s">
        <v>60</v>
      </c>
      <c r="B97" s="383">
        <v>1</v>
      </c>
      <c r="C97" s="365" t="s">
        <v>61</v>
      </c>
      <c r="D97" s="390">
        <v>11.84</v>
      </c>
      <c r="E97" s="261"/>
      <c r="F97" s="391">
        <v>10.61</v>
      </c>
    </row>
    <row r="98" spans="1:9" ht="26.25" customHeight="1" x14ac:dyDescent="0.4">
      <c r="A98" s="254" t="s">
        <v>62</v>
      </c>
      <c r="B98" s="383">
        <v>1</v>
      </c>
      <c r="C98" s="366" t="s">
        <v>63</v>
      </c>
      <c r="D98" s="367">
        <f>D97*B88</f>
        <v>11.84</v>
      </c>
      <c r="E98" s="268"/>
      <c r="F98" s="267">
        <f>F97*B88</f>
        <v>10.61</v>
      </c>
    </row>
    <row r="99" spans="1:9" ht="19.5" customHeight="1" x14ac:dyDescent="0.3">
      <c r="A99" s="254" t="s">
        <v>64</v>
      </c>
      <c r="B99" s="363">
        <f>(B98/B97)*(B96/B95)*(B94/B93)*(B92/B91)*B90</f>
        <v>500</v>
      </c>
      <c r="C99" s="366" t="s">
        <v>65</v>
      </c>
      <c r="D99" s="368">
        <f>D98*$B$84/100</f>
        <v>11.804480000000002</v>
      </c>
      <c r="E99" s="270"/>
      <c r="F99" s="269">
        <f>F98*$B$84/100</f>
        <v>10.57817</v>
      </c>
    </row>
    <row r="100" spans="1:9" ht="19.5" customHeight="1" x14ac:dyDescent="0.3">
      <c r="A100" s="423" t="s">
        <v>66</v>
      </c>
      <c r="B100" s="428"/>
      <c r="C100" s="366" t="s">
        <v>67</v>
      </c>
      <c r="D100" s="367">
        <f>D99/$B$99</f>
        <v>2.3608960000000002E-2</v>
      </c>
      <c r="E100" s="270"/>
      <c r="F100" s="271">
        <f>F99/$B$99</f>
        <v>2.1156339999999999E-2</v>
      </c>
      <c r="G100" s="349"/>
      <c r="H100" s="350"/>
    </row>
    <row r="101" spans="1:9" ht="19.5" customHeight="1" x14ac:dyDescent="0.3">
      <c r="A101" s="425"/>
      <c r="B101" s="429"/>
      <c r="C101" s="366" t="s">
        <v>68</v>
      </c>
      <c r="D101" s="375">
        <f>$B$56/$B$117</f>
        <v>3.3333333333333333E-2</v>
      </c>
      <c r="F101" s="273"/>
      <c r="G101" s="351"/>
      <c r="H101" s="350"/>
    </row>
    <row r="102" spans="1:9" ht="18.75" x14ac:dyDescent="0.3">
      <c r="C102" s="366" t="s">
        <v>69</v>
      </c>
      <c r="D102" s="367">
        <f>D101*$B$99</f>
        <v>16.666666666666668</v>
      </c>
      <c r="F102" s="273"/>
      <c r="G102" s="349"/>
      <c r="H102" s="350"/>
    </row>
    <row r="103" spans="1:9" ht="19.5" customHeight="1" x14ac:dyDescent="0.3">
      <c r="C103" s="369" t="s">
        <v>70</v>
      </c>
      <c r="D103" s="376">
        <f>D102/B34</f>
        <v>16.666666666666668</v>
      </c>
      <c r="F103" s="276"/>
      <c r="G103" s="349"/>
      <c r="H103" s="350"/>
      <c r="I103" s="290"/>
    </row>
    <row r="104" spans="1:9" ht="18.75" x14ac:dyDescent="0.3">
      <c r="C104" s="371" t="s">
        <v>109</v>
      </c>
      <c r="D104" s="372">
        <f>AVERAGE(E92:E95,G92:G95)</f>
        <v>23942121.957396206</v>
      </c>
      <c r="F104" s="276"/>
      <c r="G104" s="352"/>
      <c r="H104" s="350"/>
      <c r="I104" s="292"/>
    </row>
    <row r="105" spans="1:9" ht="18.75" x14ac:dyDescent="0.3">
      <c r="C105" s="272" t="s">
        <v>72</v>
      </c>
      <c r="D105" s="291">
        <f>STDEV(E92:E95,G92:G95)/D104</f>
        <v>1.2604388149227999E-2</v>
      </c>
      <c r="F105" s="276"/>
      <c r="G105" s="349"/>
      <c r="H105" s="350"/>
      <c r="I105" s="292"/>
    </row>
    <row r="106" spans="1:9" ht="19.5" customHeight="1" x14ac:dyDescent="0.3">
      <c r="C106" s="274" t="s">
        <v>18</v>
      </c>
      <c r="D106" s="293">
        <f>COUNT(E92:E95,G92:G95)</f>
        <v>6</v>
      </c>
      <c r="F106" s="276"/>
      <c r="G106" s="349"/>
      <c r="H106" s="350"/>
      <c r="I106" s="292"/>
    </row>
    <row r="107" spans="1:9" ht="19.5" customHeight="1" x14ac:dyDescent="0.3">
      <c r="A107" s="234"/>
      <c r="B107" s="234"/>
      <c r="C107" s="234"/>
      <c r="D107" s="234"/>
      <c r="E107" s="234"/>
    </row>
    <row r="108" spans="1:9" ht="26.25" customHeight="1" x14ac:dyDescent="0.4">
      <c r="A108" s="253" t="s">
        <v>79</v>
      </c>
      <c r="B108" s="385">
        <v>900</v>
      </c>
      <c r="C108" s="294" t="s">
        <v>80</v>
      </c>
      <c r="D108" s="295" t="s">
        <v>52</v>
      </c>
      <c r="E108" s="296" t="s">
        <v>81</v>
      </c>
      <c r="F108" s="297" t="s">
        <v>82</v>
      </c>
    </row>
    <row r="109" spans="1:9" ht="26.25" customHeight="1" x14ac:dyDescent="0.4">
      <c r="A109" s="254" t="s">
        <v>83</v>
      </c>
      <c r="B109" s="386">
        <v>1</v>
      </c>
      <c r="C109" s="260">
        <v>1</v>
      </c>
      <c r="D109" s="400">
        <v>25115607</v>
      </c>
      <c r="E109" s="298">
        <f t="shared" ref="E109:E114" si="1">IF(ISBLANK(D109),"-",D109/$D$104*$D$101*$B$117)</f>
        <v>31.470402303553485</v>
      </c>
      <c r="F109" s="299">
        <f t="shared" ref="F109:F114" si="2">IF(ISBLANK(D109), "-", E109/$B$56)</f>
        <v>1.0490134101184494</v>
      </c>
    </row>
    <row r="110" spans="1:9" ht="26.25" customHeight="1" x14ac:dyDescent="0.4">
      <c r="A110" s="254" t="s">
        <v>84</v>
      </c>
      <c r="B110" s="386">
        <v>1</v>
      </c>
      <c r="C110" s="260">
        <v>2</v>
      </c>
      <c r="D110" s="400">
        <v>25550616</v>
      </c>
      <c r="E110" s="300">
        <f t="shared" si="1"/>
        <v>32.015478050106871</v>
      </c>
      <c r="F110" s="323">
        <f t="shared" si="2"/>
        <v>1.067182601670229</v>
      </c>
    </row>
    <row r="111" spans="1:9" ht="26.25" customHeight="1" x14ac:dyDescent="0.4">
      <c r="A111" s="254" t="s">
        <v>85</v>
      </c>
      <c r="B111" s="386">
        <v>1</v>
      </c>
      <c r="C111" s="260">
        <v>3</v>
      </c>
      <c r="D111" s="400">
        <v>24983523</v>
      </c>
      <c r="E111" s="300">
        <f t="shared" si="1"/>
        <v>31.304898176264718</v>
      </c>
      <c r="F111" s="323">
        <f t="shared" si="2"/>
        <v>1.0434966058754906</v>
      </c>
    </row>
    <row r="112" spans="1:9" ht="26.25" customHeight="1" x14ac:dyDescent="0.4">
      <c r="A112" s="254" t="s">
        <v>86</v>
      </c>
      <c r="B112" s="386">
        <v>1</v>
      </c>
      <c r="C112" s="260">
        <v>4</v>
      </c>
      <c r="D112" s="400">
        <v>24809717</v>
      </c>
      <c r="E112" s="300">
        <f t="shared" si="1"/>
        <v>31.087115474744849</v>
      </c>
      <c r="F112" s="323">
        <f t="shared" si="2"/>
        <v>1.0362371824914949</v>
      </c>
    </row>
    <row r="113" spans="1:9" ht="26.25" customHeight="1" x14ac:dyDescent="0.4">
      <c r="A113" s="254" t="s">
        <v>87</v>
      </c>
      <c r="B113" s="386">
        <v>1</v>
      </c>
      <c r="C113" s="260">
        <v>5</v>
      </c>
      <c r="D113" s="400">
        <v>23793957</v>
      </c>
      <c r="E113" s="300">
        <f t="shared" si="1"/>
        <v>29.81434608303325</v>
      </c>
      <c r="F113" s="323">
        <f t="shared" si="2"/>
        <v>0.99381153610110828</v>
      </c>
    </row>
    <row r="114" spans="1:9" ht="26.25" customHeight="1" x14ac:dyDescent="0.4">
      <c r="A114" s="254" t="s">
        <v>88</v>
      </c>
      <c r="B114" s="386">
        <v>1</v>
      </c>
      <c r="C114" s="263">
        <v>6</v>
      </c>
      <c r="D114" s="401">
        <v>23352552</v>
      </c>
      <c r="E114" s="301">
        <f t="shared" si="1"/>
        <v>29.261256009247656</v>
      </c>
      <c r="F114" s="324">
        <f t="shared" si="2"/>
        <v>0.9753752003082552</v>
      </c>
    </row>
    <row r="115" spans="1:9" ht="26.25" customHeight="1" x14ac:dyDescent="0.4">
      <c r="A115" s="254" t="s">
        <v>89</v>
      </c>
      <c r="B115" s="386">
        <v>1</v>
      </c>
      <c r="C115" s="260"/>
      <c r="D115" s="286"/>
      <c r="E115" s="288"/>
      <c r="F115" s="302"/>
    </row>
    <row r="116" spans="1:9" ht="26.25" customHeight="1" x14ac:dyDescent="0.4">
      <c r="A116" s="254" t="s">
        <v>90</v>
      </c>
      <c r="B116" s="386">
        <v>1</v>
      </c>
      <c r="C116" s="260"/>
      <c r="D116" s="303"/>
      <c r="E116" s="304" t="s">
        <v>59</v>
      </c>
      <c r="F116" s="407">
        <f>AVERAGE(F109:F114)</f>
        <v>1.027519422760838</v>
      </c>
    </row>
    <row r="117" spans="1:9" ht="27" customHeight="1" x14ac:dyDescent="0.4">
      <c r="A117" s="254" t="s">
        <v>91</v>
      </c>
      <c r="B117" s="354">
        <f>(B116/B115)*(B114/B113)*(B112/B111)*(B110/B109)*B108</f>
        <v>900</v>
      </c>
      <c r="C117" s="305"/>
      <c r="D117" s="306"/>
      <c r="E117" s="307" t="s">
        <v>72</v>
      </c>
      <c r="F117" s="408">
        <f>STDEV(F109:F114)/F116</f>
        <v>3.433036828545985E-2</v>
      </c>
    </row>
    <row r="118" spans="1:9" ht="27" customHeight="1" x14ac:dyDescent="0.4">
      <c r="A118" s="423" t="s">
        <v>66</v>
      </c>
      <c r="B118" s="424"/>
      <c r="C118" s="308"/>
      <c r="D118" s="309"/>
      <c r="E118" s="310" t="s">
        <v>18</v>
      </c>
      <c r="F118" s="409">
        <f>COUNT(F109:F114)</f>
        <v>6</v>
      </c>
      <c r="I118" s="292"/>
    </row>
    <row r="119" spans="1:9" ht="19.5" customHeight="1" x14ac:dyDescent="0.3">
      <c r="A119" s="425"/>
      <c r="B119" s="426"/>
      <c r="C119" s="288"/>
      <c r="D119" s="288"/>
      <c r="E119" s="288"/>
      <c r="F119" s="286"/>
      <c r="G119" s="288"/>
      <c r="H119" s="288"/>
    </row>
    <row r="120" spans="1:9" ht="18.75" x14ac:dyDescent="0.3">
      <c r="A120" s="251"/>
      <c r="B120" s="251"/>
      <c r="C120" s="288"/>
      <c r="D120" s="288"/>
      <c r="E120" s="288"/>
      <c r="F120" s="286"/>
      <c r="G120" s="288"/>
      <c r="H120" s="288"/>
    </row>
    <row r="121" spans="1:9" ht="26.25" customHeight="1" x14ac:dyDescent="0.4">
      <c r="A121" s="241" t="s">
        <v>75</v>
      </c>
      <c r="B121" s="379" t="s">
        <v>92</v>
      </c>
      <c r="C121" s="427" t="str">
        <f>B20</f>
        <v xml:space="preserve">ABACAVIR LAMIVUDINE </v>
      </c>
      <c r="D121" s="427"/>
      <c r="E121" s="380" t="s">
        <v>93</v>
      </c>
      <c r="F121" s="380"/>
      <c r="G121" s="410">
        <f>F116</f>
        <v>1.027519422760838</v>
      </c>
      <c r="H121" s="288"/>
    </row>
    <row r="122" spans="1:9" ht="18.75" x14ac:dyDescent="0.3">
      <c r="A122" s="251"/>
      <c r="B122" s="251"/>
      <c r="C122" s="288"/>
      <c r="D122" s="288"/>
      <c r="E122" s="288"/>
      <c r="F122" s="286"/>
      <c r="G122" s="288"/>
      <c r="H122" s="288"/>
    </row>
    <row r="123" spans="1:9" ht="26.25" customHeight="1" x14ac:dyDescent="0.4">
      <c r="A123" s="240" t="s">
        <v>106</v>
      </c>
      <c r="B123" s="240" t="s">
        <v>107</v>
      </c>
      <c r="D123" s="402" t="s">
        <v>110</v>
      </c>
    </row>
    <row r="124" spans="1:9" ht="19.5" customHeight="1" x14ac:dyDescent="0.3">
      <c r="A124" s="234"/>
      <c r="B124" s="234"/>
      <c r="C124" s="234"/>
      <c r="D124" s="234"/>
      <c r="E124" s="234"/>
    </row>
    <row r="125" spans="1:9" ht="26.25" customHeight="1" x14ac:dyDescent="0.4">
      <c r="A125" s="253" t="s">
        <v>79</v>
      </c>
      <c r="B125" s="403">
        <v>900</v>
      </c>
      <c r="C125" s="294" t="s">
        <v>80</v>
      </c>
      <c r="D125" s="295" t="s">
        <v>52</v>
      </c>
      <c r="E125" s="296" t="s">
        <v>81</v>
      </c>
      <c r="F125" s="297" t="s">
        <v>82</v>
      </c>
    </row>
    <row r="126" spans="1:9" ht="26.25" customHeight="1" x14ac:dyDescent="0.4">
      <c r="A126" s="254" t="s">
        <v>83</v>
      </c>
      <c r="B126" s="404">
        <v>1</v>
      </c>
      <c r="C126" s="260">
        <v>1</v>
      </c>
      <c r="D126" s="405">
        <v>97763407</v>
      </c>
      <c r="E126" s="359">
        <f t="shared" ref="E126:E131" si="3">IF(ISBLANK(D126),"-",D126/$D$104*$D$101*$B$134)</f>
        <v>122.49967714720319</v>
      </c>
      <c r="F126" s="356">
        <f t="shared" ref="F126:F131" si="4">IF(ISBLANK(D126), "-", E126/$B$56)</f>
        <v>4.0833225715734391</v>
      </c>
    </row>
    <row r="127" spans="1:9" ht="26.25" customHeight="1" x14ac:dyDescent="0.4">
      <c r="A127" s="254" t="s">
        <v>84</v>
      </c>
      <c r="B127" s="404">
        <v>1</v>
      </c>
      <c r="C127" s="260">
        <v>2</v>
      </c>
      <c r="D127" s="405">
        <v>113462831</v>
      </c>
      <c r="E127" s="360">
        <f t="shared" si="3"/>
        <v>142.17139717427889</v>
      </c>
      <c r="F127" s="357">
        <f t="shared" si="4"/>
        <v>4.7390465724759627</v>
      </c>
    </row>
    <row r="128" spans="1:9" ht="26.25" customHeight="1" x14ac:dyDescent="0.4">
      <c r="A128" s="254" t="s">
        <v>85</v>
      </c>
      <c r="B128" s="404">
        <v>1</v>
      </c>
      <c r="C128" s="260">
        <v>3</v>
      </c>
      <c r="D128" s="405">
        <v>107674311</v>
      </c>
      <c r="E128" s="360">
        <f t="shared" si="3"/>
        <v>134.91825560608328</v>
      </c>
      <c r="F128" s="357">
        <f t="shared" si="4"/>
        <v>4.4972751868694427</v>
      </c>
    </row>
    <row r="129" spans="1:9" ht="26.25" customHeight="1" x14ac:dyDescent="0.4">
      <c r="A129" s="254" t="s">
        <v>86</v>
      </c>
      <c r="B129" s="404">
        <v>1</v>
      </c>
      <c r="C129" s="260">
        <v>4</v>
      </c>
      <c r="D129" s="405">
        <v>93648936</v>
      </c>
      <c r="E129" s="360">
        <f t="shared" si="3"/>
        <v>117.344155417774</v>
      </c>
      <c r="F129" s="357">
        <f t="shared" si="4"/>
        <v>3.9114718472591337</v>
      </c>
    </row>
    <row r="130" spans="1:9" ht="26.25" customHeight="1" x14ac:dyDescent="0.4">
      <c r="A130" s="254" t="s">
        <v>87</v>
      </c>
      <c r="B130" s="404">
        <v>1</v>
      </c>
      <c r="C130" s="260">
        <v>5</v>
      </c>
      <c r="D130" s="405">
        <v>102586228</v>
      </c>
      <c r="E130" s="360">
        <f t="shared" si="3"/>
        <v>128.54277684644705</v>
      </c>
      <c r="F130" s="357">
        <f t="shared" si="4"/>
        <v>4.2847592282149014</v>
      </c>
    </row>
    <row r="131" spans="1:9" ht="26.25" customHeight="1" x14ac:dyDescent="0.4">
      <c r="A131" s="254" t="s">
        <v>88</v>
      </c>
      <c r="B131" s="404">
        <v>1</v>
      </c>
      <c r="C131" s="263">
        <v>6</v>
      </c>
      <c r="D131" s="406">
        <v>93380627</v>
      </c>
      <c r="E131" s="361">
        <f t="shared" si="3"/>
        <v>117.00795840005254</v>
      </c>
      <c r="F131" s="358">
        <f t="shared" si="4"/>
        <v>3.9002652800017517</v>
      </c>
    </row>
    <row r="132" spans="1:9" ht="26.25" customHeight="1" x14ac:dyDescent="0.4">
      <c r="A132" s="254" t="s">
        <v>89</v>
      </c>
      <c r="B132" s="404">
        <v>1</v>
      </c>
      <c r="C132" s="260"/>
      <c r="D132" s="286"/>
      <c r="E132" s="288"/>
      <c r="F132" s="302"/>
    </row>
    <row r="133" spans="1:9" ht="26.25" customHeight="1" x14ac:dyDescent="0.4">
      <c r="A133" s="254" t="s">
        <v>90</v>
      </c>
      <c r="B133" s="404">
        <v>1</v>
      </c>
      <c r="C133" s="260"/>
      <c r="D133" s="303"/>
      <c r="E133" s="304" t="s">
        <v>59</v>
      </c>
      <c r="F133" s="407">
        <f>AVERAGE(F126:F131)</f>
        <v>4.2360234477324381</v>
      </c>
    </row>
    <row r="134" spans="1:9" ht="27" customHeight="1" x14ac:dyDescent="0.4">
      <c r="A134" s="254" t="s">
        <v>91</v>
      </c>
      <c r="B134" s="411">
        <f>(B133/B132)*(B131/B130)*(B129/B128)*(B127/B126)*B125</f>
        <v>900</v>
      </c>
      <c r="C134" s="305"/>
      <c r="D134" s="306"/>
      <c r="E134" s="307" t="s">
        <v>72</v>
      </c>
      <c r="F134" s="408">
        <f>STDEV(F126:F131)/F133</f>
        <v>7.9359343679068967E-2</v>
      </c>
    </row>
    <row r="135" spans="1:9" ht="27" customHeight="1" x14ac:dyDescent="0.4">
      <c r="A135" s="423" t="s">
        <v>66</v>
      </c>
      <c r="B135" s="424"/>
      <c r="C135" s="308"/>
      <c r="D135" s="309"/>
      <c r="E135" s="310" t="s">
        <v>18</v>
      </c>
      <c r="F135" s="409">
        <f>COUNT(F126:F131)</f>
        <v>6</v>
      </c>
      <c r="I135" s="292"/>
    </row>
    <row r="136" spans="1:9" ht="19.5" customHeight="1" x14ac:dyDescent="0.3">
      <c r="A136" s="425"/>
      <c r="B136" s="426"/>
      <c r="C136" s="288"/>
      <c r="D136" s="288"/>
      <c r="E136" s="288"/>
      <c r="F136" s="286"/>
      <c r="G136" s="288"/>
      <c r="H136" s="288"/>
    </row>
    <row r="137" spans="1:9" ht="18.75" x14ac:dyDescent="0.3">
      <c r="A137" s="251"/>
      <c r="B137" s="251"/>
      <c r="C137" s="288"/>
      <c r="D137" s="288"/>
      <c r="E137" s="288"/>
      <c r="F137" s="286"/>
      <c r="G137" s="288"/>
      <c r="H137" s="288"/>
    </row>
    <row r="138" spans="1:9" ht="26.25" customHeight="1" x14ac:dyDescent="0.4">
      <c r="A138" s="241" t="s">
        <v>75</v>
      </c>
      <c r="B138" s="379" t="s">
        <v>92</v>
      </c>
      <c r="C138" s="427" t="str">
        <f>B20</f>
        <v xml:space="preserve">ABACAVIR LAMIVUDINE </v>
      </c>
      <c r="D138" s="427"/>
      <c r="E138" s="380" t="s">
        <v>93</v>
      </c>
      <c r="F138" s="380"/>
      <c r="G138" s="410">
        <f>F133</f>
        <v>4.2360234477324381</v>
      </c>
      <c r="H138" s="288"/>
    </row>
    <row r="139" spans="1:9" ht="19.5" customHeight="1" x14ac:dyDescent="0.3">
      <c r="A139" s="325"/>
      <c r="B139" s="325"/>
      <c r="C139" s="326"/>
      <c r="D139" s="326"/>
      <c r="E139" s="326"/>
      <c r="F139" s="326"/>
      <c r="G139" s="326"/>
      <c r="H139" s="326"/>
    </row>
    <row r="140" spans="1:9" ht="18.75" x14ac:dyDescent="0.3">
      <c r="B140" s="418" t="s">
        <v>24</v>
      </c>
      <c r="C140" s="418"/>
      <c r="E140" s="313" t="s">
        <v>25</v>
      </c>
      <c r="F140" s="341"/>
      <c r="G140" s="418" t="s">
        <v>26</v>
      </c>
      <c r="H140" s="418"/>
    </row>
    <row r="141" spans="1:9" ht="83.1" customHeight="1" x14ac:dyDescent="0.3">
      <c r="A141" s="342" t="s">
        <v>27</v>
      </c>
      <c r="B141" s="377"/>
      <c r="C141" s="377"/>
      <c r="E141" s="337"/>
      <c r="F141" s="288"/>
      <c r="G141" s="339"/>
      <c r="H141" s="339"/>
    </row>
    <row r="142" spans="1:9" ht="83.1" customHeight="1" x14ac:dyDescent="0.3">
      <c r="A142" s="342" t="s">
        <v>28</v>
      </c>
      <c r="B142" s="378"/>
      <c r="C142" s="378"/>
      <c r="E142" s="338"/>
      <c r="F142" s="288"/>
      <c r="G142" s="340"/>
      <c r="H142" s="340"/>
    </row>
    <row r="143" spans="1:9" ht="18.75" x14ac:dyDescent="0.3">
      <c r="A143" s="285"/>
      <c r="B143" s="285"/>
      <c r="C143" s="286"/>
      <c r="D143" s="286"/>
      <c r="E143" s="286"/>
      <c r="F143" s="287"/>
      <c r="G143" s="286"/>
      <c r="H143" s="286"/>
    </row>
    <row r="144" spans="1:9" ht="18.75" x14ac:dyDescent="0.3">
      <c r="A144" s="285"/>
      <c r="B144" s="285"/>
      <c r="C144" s="286"/>
      <c r="D144" s="286"/>
      <c r="E144" s="286"/>
      <c r="F144" s="287"/>
      <c r="G144" s="286"/>
      <c r="H144" s="286"/>
    </row>
    <row r="145" spans="1:8" ht="18.75" x14ac:dyDescent="0.3">
      <c r="A145" s="285"/>
      <c r="B145" s="285"/>
      <c r="C145" s="286"/>
      <c r="D145" s="286"/>
      <c r="E145" s="286"/>
      <c r="F145" s="287"/>
      <c r="G145" s="286"/>
      <c r="H145" s="286"/>
    </row>
    <row r="146" spans="1:8" ht="18.75" x14ac:dyDescent="0.3">
      <c r="A146" s="285"/>
      <c r="B146" s="285"/>
      <c r="C146" s="286"/>
      <c r="D146" s="286"/>
      <c r="E146" s="286"/>
      <c r="F146" s="287"/>
      <c r="G146" s="286"/>
      <c r="H146" s="286"/>
    </row>
    <row r="147" spans="1:8" ht="18.75" x14ac:dyDescent="0.3">
      <c r="A147" s="285"/>
      <c r="B147" s="285"/>
      <c r="C147" s="286"/>
      <c r="D147" s="286"/>
      <c r="E147" s="286"/>
      <c r="F147" s="287"/>
      <c r="G147" s="286"/>
      <c r="H147" s="286"/>
    </row>
    <row r="148" spans="1:8" ht="18.75" x14ac:dyDescent="0.3">
      <c r="A148" s="285"/>
      <c r="B148" s="285"/>
      <c r="C148" s="286"/>
      <c r="D148" s="286"/>
      <c r="E148" s="286"/>
      <c r="F148" s="287"/>
      <c r="G148" s="286"/>
      <c r="H148" s="286"/>
    </row>
    <row r="149" spans="1:8" ht="18.75" x14ac:dyDescent="0.3">
      <c r="A149" s="285"/>
      <c r="B149" s="285"/>
      <c r="C149" s="286"/>
      <c r="D149" s="286"/>
      <c r="E149" s="286"/>
      <c r="F149" s="287"/>
      <c r="G149" s="286"/>
      <c r="H149" s="286"/>
    </row>
    <row r="150" spans="1:8" ht="18.75" x14ac:dyDescent="0.3">
      <c r="A150" s="285"/>
      <c r="B150" s="285"/>
      <c r="C150" s="286"/>
      <c r="D150" s="286"/>
      <c r="E150" s="286"/>
      <c r="F150" s="287"/>
      <c r="G150" s="286"/>
      <c r="H150" s="286"/>
    </row>
    <row r="151" spans="1:8" ht="18.75" x14ac:dyDescent="0.3">
      <c r="A151" s="285"/>
      <c r="B151" s="285"/>
      <c r="C151" s="286"/>
      <c r="D151" s="286"/>
      <c r="E151" s="286"/>
      <c r="F151" s="287"/>
      <c r="G151" s="286"/>
      <c r="H151" s="286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7" fitToHeight="2" orientation="portrait" r:id="rId1"/>
  <headerFooter alignWithMargins="0">
    <oddFooter>&amp;LNQCL/ADDO/014&amp;C&amp;P of &amp;N&amp;R&amp;D &amp;T</oddFooter>
  </headerFooter>
  <rowBreaks count="1" manualBreakCount="1">
    <brk id="121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Uniformity</vt:lpstr>
      <vt:lpstr>SST ABACAVIR</vt:lpstr>
      <vt:lpstr>SST LAMIVUDINE)</vt:lpstr>
      <vt:lpstr>Abacavir  1</vt:lpstr>
      <vt:lpstr>Lamivudine 1</vt:lpstr>
      <vt:lpstr>'Abacavir  1'!Print_Area</vt:lpstr>
      <vt:lpstr>'Lamivudine 1'!Print_Area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HPLC-M</cp:lastModifiedBy>
  <dcterms:created xsi:type="dcterms:W3CDTF">2005-07-05T10:19:27Z</dcterms:created>
  <dcterms:modified xsi:type="dcterms:W3CDTF">2015-08-24T10:24:29Z</dcterms:modified>
</cp:coreProperties>
</file>