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Montelukast" sheetId="3" r:id="rId3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57" i="3" l="1"/>
  <c r="D49" i="3" l="1"/>
  <c r="D48" i="3"/>
  <c r="D100" i="3" l="1"/>
  <c r="B42" i="1" l="1"/>
  <c r="C120" i="3"/>
  <c r="B116" i="3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F42" i="3"/>
  <c r="D42" i="3"/>
  <c r="B34" i="3"/>
  <c r="D44" i="3" s="1"/>
  <c r="B30" i="3"/>
  <c r="C46" i="2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F97" i="3"/>
  <c r="F98" i="3" s="1"/>
  <c r="I39" i="3"/>
  <c r="F44" i="3"/>
  <c r="F45" i="3" s="1"/>
  <c r="D45" i="3"/>
  <c r="E41" i="3" s="1"/>
  <c r="D98" i="3"/>
  <c r="D99" i="3" s="1"/>
  <c r="B69" i="3"/>
  <c r="D25" i="2"/>
  <c r="D33" i="2"/>
  <c r="D37" i="2"/>
  <c r="D41" i="2"/>
  <c r="D26" i="2"/>
  <c r="D30" i="2"/>
  <c r="D34" i="2"/>
  <c r="D38" i="2"/>
  <c r="D42" i="2"/>
  <c r="B49" i="2"/>
  <c r="D50" i="2"/>
  <c r="C50" i="2"/>
  <c r="D27" i="2"/>
  <c r="D31" i="2"/>
  <c r="D35" i="2"/>
  <c r="D39" i="2"/>
  <c r="D43" i="2"/>
  <c r="C49" i="2"/>
  <c r="D29" i="2"/>
  <c r="D24" i="2"/>
  <c r="D28" i="2"/>
  <c r="D32" i="2"/>
  <c r="D36" i="2"/>
  <c r="D40" i="2"/>
  <c r="D49" i="2"/>
  <c r="E93" i="3" l="1"/>
  <c r="E92" i="3"/>
  <c r="D102" i="3"/>
  <c r="F99" i="3"/>
  <c r="G94" i="3"/>
  <c r="E39" i="3"/>
  <c r="G40" i="3"/>
  <c r="G41" i="3"/>
  <c r="G38" i="3"/>
  <c r="F46" i="3"/>
  <c r="G39" i="3"/>
  <c r="E38" i="3"/>
  <c r="E40" i="3"/>
  <c r="D46" i="3"/>
  <c r="G92" i="3"/>
  <c r="E91" i="3"/>
  <c r="G93" i="3"/>
  <c r="E94" i="3"/>
  <c r="G91" i="3"/>
  <c r="G95" i="3" l="1"/>
  <c r="E95" i="3"/>
  <c r="D105" i="3"/>
  <c r="E42" i="3"/>
  <c r="G42" i="3"/>
  <c r="D52" i="3"/>
  <c r="D50" i="3"/>
  <c r="D51" i="3" s="1"/>
  <c r="D103" i="3"/>
  <c r="E112" i="3" s="1"/>
  <c r="F112" i="3" s="1"/>
  <c r="E113" i="3" l="1"/>
  <c r="F113" i="3" s="1"/>
  <c r="E108" i="3"/>
  <c r="F108" i="3" s="1"/>
  <c r="E110" i="3"/>
  <c r="F110" i="3" s="1"/>
  <c r="E111" i="3"/>
  <c r="F111" i="3" s="1"/>
  <c r="E109" i="3"/>
  <c r="F109" i="3" s="1"/>
  <c r="G66" i="3"/>
  <c r="H66" i="3" s="1"/>
  <c r="G69" i="3"/>
  <c r="H69" i="3" s="1"/>
  <c r="G71" i="3"/>
  <c r="H71" i="3" s="1"/>
  <c r="G65" i="3"/>
  <c r="H65" i="3" s="1"/>
  <c r="G64" i="3"/>
  <c r="H64" i="3" s="1"/>
  <c r="G67" i="3"/>
  <c r="H67" i="3" s="1"/>
  <c r="G68" i="3"/>
  <c r="H68" i="3" s="1"/>
  <c r="G61" i="3"/>
  <c r="H61" i="3" s="1"/>
  <c r="G70" i="3"/>
  <c r="H70" i="3" s="1"/>
  <c r="G62" i="3"/>
  <c r="H62" i="3" s="1"/>
  <c r="G60" i="3"/>
  <c r="H60" i="3" s="1"/>
  <c r="G63" i="3"/>
  <c r="H63" i="3" s="1"/>
  <c r="D104" i="3"/>
  <c r="F117" i="3" l="1"/>
  <c r="F115" i="3"/>
  <c r="G120" i="3" s="1"/>
  <c r="H72" i="3"/>
  <c r="G76" i="3" s="1"/>
  <c r="H74" i="3"/>
  <c r="F116" i="3" l="1"/>
  <c r="H73" i="3"/>
</calcChain>
</file>

<file path=xl/sharedStrings.xml><?xml version="1.0" encoding="utf-8"?>
<sst xmlns="http://schemas.openxmlformats.org/spreadsheetml/2006/main" count="237" uniqueCount="129">
  <si>
    <t>HPLC System Suitability Report</t>
  </si>
  <si>
    <t>Analysis Data</t>
  </si>
  <si>
    <t>Assay</t>
  </si>
  <si>
    <t>Sample(s)</t>
  </si>
  <si>
    <t>Reference Substance:</t>
  </si>
  <si>
    <t>GLEMONT-CT 5 TABLETS</t>
  </si>
  <si>
    <t>% age Purity:</t>
  </si>
  <si>
    <t>NDQD201504203</t>
  </si>
  <si>
    <t>Weight (mg):</t>
  </si>
  <si>
    <t>Montelukast Sodium</t>
  </si>
  <si>
    <t>Standard Conc (mg/mL):</t>
  </si>
  <si>
    <t>Montelukast Sodium equivalent to Montelukast 5mg</t>
  </si>
  <si>
    <t>2015-04-23 11:10:12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</si>
  <si>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</si>
  <si>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</si>
  <si>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</si>
  <si>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</si>
  <si>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</si>
  <si>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</si>
  <si>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</si>
  <si>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</si>
  <si>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</si>
  <si>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</si>
  <si>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</si>
  <si>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</si>
  <si>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</si>
  <si>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</si>
  <si>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</si>
  <si>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</si>
  <si>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</si>
  <si>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</si>
  <si>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</si>
  <si>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</si>
  <si>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</si>
  <si>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</si>
  <si>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</si>
  <si>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</si>
  <si>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</si>
  <si>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</si>
  <si>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</si>
  <si>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</si>
  <si>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</si>
  <si>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</si>
  <si>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</si>
  <si>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</si>
  <si>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</si>
  <si>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</si>
  <si>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</si>
  <si>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</si>
  <si>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</si>
  <si>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</si>
  <si>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</si>
  <si>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</si>
  <si>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</si>
  <si>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</si>
  <si>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</si>
  <si>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</si>
  <si>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</si>
  <si>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</si>
  <si>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</si>
  <si>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</si>
  <si>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</si>
  <si>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</si>
  <si>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</si>
  <si>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</si>
  <si>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</si>
  <si>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</si>
  <si>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</si>
  <si>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</si>
  <si>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</si>
  <si>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</si>
  <si>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</si>
  <si>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</si>
  <si>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</si>
  <si>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</si>
  <si>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</si>
  <si>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</si>
  <si>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</si>
  <si>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</si>
  <si>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</si>
  <si>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</si>
  <si>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</si>
  <si>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</si>
  <si>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</si>
  <si>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</si>
  <si>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</si>
  <si>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</si>
  <si>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</si>
  <si>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</si>
  <si>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</si>
  <si>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</si>
  <si>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</si>
  <si>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</si>
  <si>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</si>
  <si>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</si>
  <si>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</si>
  <si>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</si>
  <si>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</si>
  <si>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</si>
  <si>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</si>
  <si>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</si>
  <si>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</si>
  <si>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</si>
  <si>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</si>
  <si>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</si>
  <si>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</si>
  <si>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</si>
  <si>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</si>
  <si>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</si>
  <si>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</si>
  <si>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</si>
  <si>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</si>
  <si>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</si>
  <si>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</si>
  <si>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</si>
  <si>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</si>
  <si>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</si>
  <si>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</si>
  <si>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</si>
  <si>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</si>
  <si>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</si>
  <si>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</si>
  <si>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</si>
  <si>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</si>
  <si>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</si>
  <si>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Montelukast sodium</t>
  </si>
  <si>
    <t>26th Oct 2015</t>
  </si>
  <si>
    <t>M6 1</t>
  </si>
  <si>
    <t>Montelukast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</si>
</sst>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3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B24" sqref="B24:E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23601575</v>
      </c>
      <c r="C24" s="18">
        <v>10420.9</v>
      </c>
      <c r="D24" s="19">
        <v>1.05</v>
      </c>
      <c r="E24" s="20">
        <v>10.76</v>
      </c>
    </row>
    <row r="25" spans="1:6" ht="16.5" customHeight="1" x14ac:dyDescent="0.3">
      <c r="A25" s="17">
        <v>2</v>
      </c>
      <c r="B25" s="18">
        <v>23648327</v>
      </c>
      <c r="C25" s="18">
        <v>10515.7</v>
      </c>
      <c r="D25" s="19">
        <v>1.04</v>
      </c>
      <c r="E25" s="19">
        <v>10.74</v>
      </c>
    </row>
    <row r="26" spans="1:6" ht="16.5" customHeight="1" x14ac:dyDescent="0.3">
      <c r="A26" s="17">
        <v>3</v>
      </c>
      <c r="B26" s="18">
        <v>23668489</v>
      </c>
      <c r="C26" s="18">
        <v>10457.299999999999</v>
      </c>
      <c r="D26" s="19">
        <v>1.05</v>
      </c>
      <c r="E26" s="19">
        <v>10.76</v>
      </c>
    </row>
    <row r="27" spans="1:6" ht="16.5" customHeight="1" x14ac:dyDescent="0.3">
      <c r="A27" s="17">
        <v>4</v>
      </c>
      <c r="B27" s="18">
        <v>23710473</v>
      </c>
      <c r="C27" s="18">
        <v>10523</v>
      </c>
      <c r="D27" s="19">
        <v>1.05</v>
      </c>
      <c r="E27" s="19">
        <v>10.76</v>
      </c>
    </row>
    <row r="28" spans="1:6" ht="16.5" customHeight="1" x14ac:dyDescent="0.3">
      <c r="A28" s="17">
        <v>5</v>
      </c>
      <c r="B28" s="18">
        <v>23743115</v>
      </c>
      <c r="C28" s="18">
        <v>10463.1</v>
      </c>
      <c r="D28" s="19">
        <v>1.05</v>
      </c>
      <c r="E28" s="19">
        <v>10.79</v>
      </c>
    </row>
    <row r="29" spans="1:6" ht="16.5" customHeight="1" x14ac:dyDescent="0.3">
      <c r="A29" s="17">
        <v>6</v>
      </c>
      <c r="B29" s="21">
        <v>23857140</v>
      </c>
      <c r="C29" s="21">
        <v>10490.3</v>
      </c>
      <c r="D29" s="22">
        <v>1.05</v>
      </c>
      <c r="E29" s="22">
        <v>10.78</v>
      </c>
    </row>
    <row r="30" spans="1:6" ht="16.5" customHeight="1" x14ac:dyDescent="0.3">
      <c r="A30" s="23" t="s">
        <v>18</v>
      </c>
      <c r="B30" s="24">
        <f>AVERAGE(B24:B29)</f>
        <v>23704853.166666668</v>
      </c>
      <c r="C30" s="25">
        <f>AVERAGE(C24:C29)</f>
        <v>10478.383333333331</v>
      </c>
      <c r="D30" s="26">
        <f>AVERAGE(D24:D29)</f>
        <v>1.0483333333333331</v>
      </c>
      <c r="E30" s="26">
        <f>AVERAGE(E24:E29)</f>
        <v>10.764999999999999</v>
      </c>
    </row>
    <row r="31" spans="1:6" ht="16.5" customHeight="1" x14ac:dyDescent="0.3">
      <c r="A31" s="27" t="s">
        <v>19</v>
      </c>
      <c r="B31" s="28">
        <f>(STDEV(B24:B29)/B30)</f>
        <v>3.7670816986908706E-3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125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99.7</v>
      </c>
      <c r="C40" s="10"/>
      <c r="D40" s="10"/>
      <c r="E40" s="10"/>
    </row>
    <row r="41" spans="1:6" ht="16.5" customHeight="1" x14ac:dyDescent="0.3">
      <c r="A41" s="7" t="s">
        <v>8</v>
      </c>
      <c r="B41" s="12">
        <v>26.94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B41/50*5/50</f>
        <v>5.3880000000000011E-2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23601575</v>
      </c>
      <c r="C45" s="18">
        <v>10420.9</v>
      </c>
      <c r="D45" s="19">
        <v>1.05</v>
      </c>
      <c r="E45" s="20">
        <v>10.76</v>
      </c>
    </row>
    <row r="46" spans="1:6" ht="16.5" customHeight="1" x14ac:dyDescent="0.3">
      <c r="A46" s="17">
        <v>2</v>
      </c>
      <c r="B46" s="18">
        <v>23648327</v>
      </c>
      <c r="C46" s="18">
        <v>10515.7</v>
      </c>
      <c r="D46" s="19">
        <v>1.04</v>
      </c>
      <c r="E46" s="19">
        <v>10.74</v>
      </c>
    </row>
    <row r="47" spans="1:6" ht="16.5" customHeight="1" x14ac:dyDescent="0.3">
      <c r="A47" s="17">
        <v>3</v>
      </c>
      <c r="B47" s="18">
        <v>23668489</v>
      </c>
      <c r="C47" s="18">
        <v>10457.299999999999</v>
      </c>
      <c r="D47" s="19">
        <v>1.05</v>
      </c>
      <c r="E47" s="19">
        <v>10.76</v>
      </c>
    </row>
    <row r="48" spans="1:6" ht="16.5" customHeight="1" x14ac:dyDescent="0.3">
      <c r="A48" s="17">
        <v>4</v>
      </c>
      <c r="B48" s="18">
        <v>23710473</v>
      </c>
      <c r="C48" s="18">
        <v>10523</v>
      </c>
      <c r="D48" s="19">
        <v>1.05</v>
      </c>
      <c r="E48" s="19">
        <v>10.76</v>
      </c>
    </row>
    <row r="49" spans="1:7" ht="16.5" customHeight="1" x14ac:dyDescent="0.3">
      <c r="A49" s="17">
        <v>5</v>
      </c>
      <c r="B49" s="18">
        <v>23743115</v>
      </c>
      <c r="C49" s="18">
        <v>10463.1</v>
      </c>
      <c r="D49" s="19">
        <v>1.05</v>
      </c>
      <c r="E49" s="19">
        <v>10.79</v>
      </c>
    </row>
    <row r="50" spans="1:7" ht="16.5" customHeight="1" x14ac:dyDescent="0.3">
      <c r="A50" s="17">
        <v>6</v>
      </c>
      <c r="B50" s="21">
        <v>23857140</v>
      </c>
      <c r="C50" s="21">
        <v>10490.3</v>
      </c>
      <c r="D50" s="22">
        <v>1.05</v>
      </c>
      <c r="E50" s="22">
        <v>10.78</v>
      </c>
    </row>
    <row r="51" spans="1:7" ht="16.5" customHeight="1" x14ac:dyDescent="0.3">
      <c r="A51" s="23" t="s">
        <v>18</v>
      </c>
      <c r="B51" s="24">
        <f>AVERAGE(B45:B50)</f>
        <v>23704853.166666668</v>
      </c>
      <c r="C51" s="25">
        <f>AVERAGE(C45:C50)</f>
        <v>10478.383333333331</v>
      </c>
      <c r="D51" s="26">
        <f>AVERAGE(D45:D50)</f>
        <v>1.0483333333333331</v>
      </c>
      <c r="E51" s="26">
        <f>AVERAGE(E45:E50)</f>
        <v>10.764999999999999</v>
      </c>
    </row>
    <row r="52" spans="1:7" ht="16.5" customHeight="1" x14ac:dyDescent="0.3">
      <c r="A52" s="27" t="s">
        <v>19</v>
      </c>
      <c r="B52" s="28">
        <f>(STDEV(B45:B50)/B51)</f>
        <v>3.7670816986908706E-3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4" t="s">
        <v>26</v>
      </c>
      <c r="C59" s="28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8" workbookViewId="0">
      <selection activeCell="C46" sqref="C4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8" t="s">
        <v>31</v>
      </c>
      <c r="B11" s="289"/>
      <c r="C11" s="289"/>
      <c r="D11" s="289"/>
      <c r="E11" s="289"/>
      <c r="F11" s="290"/>
      <c r="G11" s="91"/>
    </row>
    <row r="12" spans="1:7" ht="16.5" customHeight="1" x14ac:dyDescent="0.3">
      <c r="A12" s="287" t="s">
        <v>32</v>
      </c>
      <c r="B12" s="287"/>
      <c r="C12" s="287"/>
      <c r="D12" s="287"/>
      <c r="E12" s="287"/>
      <c r="F12" s="287"/>
      <c r="G12" s="90"/>
    </row>
    <row r="14" spans="1:7" ht="16.5" customHeight="1" x14ac:dyDescent="0.3">
      <c r="A14" s="292" t="s">
        <v>33</v>
      </c>
      <c r="B14" s="292"/>
      <c r="C14" s="60" t="s">
        <v>5</v>
      </c>
    </row>
    <row r="15" spans="1:7" ht="16.5" customHeight="1" x14ac:dyDescent="0.3">
      <c r="A15" s="292" t="s">
        <v>34</v>
      </c>
      <c r="B15" s="292"/>
      <c r="C15" s="60" t="s">
        <v>7</v>
      </c>
    </row>
    <row r="16" spans="1:7" ht="16.5" customHeight="1" x14ac:dyDescent="0.3">
      <c r="A16" s="292" t="s">
        <v>35</v>
      </c>
      <c r="B16" s="292"/>
      <c r="C16" s="60" t="s">
        <v>9</v>
      </c>
    </row>
    <row r="17" spans="1:5" ht="16.5" customHeight="1" x14ac:dyDescent="0.3">
      <c r="A17" s="292" t="s">
        <v>36</v>
      </c>
      <c r="B17" s="292"/>
      <c r="C17" s="60" t="s">
        <v>11</v>
      </c>
    </row>
    <row r="18" spans="1:5" ht="16.5" customHeight="1" x14ac:dyDescent="0.3">
      <c r="A18" s="292" t="s">
        <v>37</v>
      </c>
      <c r="B18" s="292"/>
      <c r="C18" s="97" t="s">
        <v>12</v>
      </c>
    </row>
    <row r="19" spans="1:5" ht="16.5" customHeight="1" x14ac:dyDescent="0.3">
      <c r="A19" s="292" t="s">
        <v>38</v>
      </c>
      <c r="B19" s="29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7" t="s">
        <v>1</v>
      </c>
      <c r="B21" s="287"/>
      <c r="C21" s="59" t="s">
        <v>39</v>
      </c>
      <c r="D21" s="66"/>
    </row>
    <row r="22" spans="1:5" ht="15.75" customHeight="1" x14ac:dyDescent="0.3">
      <c r="A22" s="291"/>
      <c r="B22" s="291"/>
      <c r="C22" s="57"/>
      <c r="D22" s="291"/>
      <c r="E22" s="291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296.86</v>
      </c>
      <c r="D24" s="87">
        <f t="shared" ref="D24:D43" si="0">(C24-$C$46)/$C$46</f>
        <v>-6.3113921381241864E-3</v>
      </c>
      <c r="E24" s="53"/>
    </row>
    <row r="25" spans="1:5" ht="15.75" customHeight="1" x14ac:dyDescent="0.3">
      <c r="C25" s="95">
        <v>297.76</v>
      </c>
      <c r="D25" s="88">
        <f t="shared" si="0"/>
        <v>-3.2987944588286746E-3</v>
      </c>
      <c r="E25" s="53"/>
    </row>
    <row r="26" spans="1:5" ht="15.75" customHeight="1" x14ac:dyDescent="0.3">
      <c r="C26" s="95">
        <v>298.64</v>
      </c>
      <c r="D26" s="88">
        <f t="shared" si="0"/>
        <v>-3.5314339462855964E-4</v>
      </c>
      <c r="E26" s="53"/>
    </row>
    <row r="27" spans="1:5" ht="15.75" customHeight="1" x14ac:dyDescent="0.3">
      <c r="C27" s="95">
        <v>296.61</v>
      </c>
      <c r="D27" s="88">
        <f t="shared" si="0"/>
        <v>-7.1482248268174052E-3</v>
      </c>
      <c r="E27" s="53"/>
    </row>
    <row r="28" spans="1:5" ht="15.75" customHeight="1" x14ac:dyDescent="0.3">
      <c r="C28" s="95">
        <v>296.89</v>
      </c>
      <c r="D28" s="88">
        <f t="shared" si="0"/>
        <v>-6.2109722154810917E-3</v>
      </c>
      <c r="E28" s="53"/>
    </row>
    <row r="29" spans="1:5" ht="15.75" customHeight="1" x14ac:dyDescent="0.3">
      <c r="C29" s="95">
        <v>304.58999999999997</v>
      </c>
      <c r="D29" s="88">
        <f t="shared" si="0"/>
        <v>1.956347459627001E-2</v>
      </c>
      <c r="E29" s="53"/>
    </row>
    <row r="30" spans="1:5" ht="15.75" customHeight="1" x14ac:dyDescent="0.3">
      <c r="C30" s="95">
        <v>298.06</v>
      </c>
      <c r="D30" s="88">
        <f t="shared" si="0"/>
        <v>-2.2945952323967741E-3</v>
      </c>
      <c r="E30" s="53"/>
    </row>
    <row r="31" spans="1:5" ht="15.75" customHeight="1" x14ac:dyDescent="0.3">
      <c r="C31" s="95">
        <v>297.56</v>
      </c>
      <c r="D31" s="88">
        <f t="shared" si="0"/>
        <v>-3.9682606097832121E-3</v>
      </c>
      <c r="E31" s="53"/>
    </row>
    <row r="32" spans="1:5" ht="15.75" customHeight="1" x14ac:dyDescent="0.3">
      <c r="C32" s="95">
        <v>304.08</v>
      </c>
      <c r="D32" s="88">
        <f t="shared" si="0"/>
        <v>1.7856335911335876E-2</v>
      </c>
      <c r="E32" s="53"/>
    </row>
    <row r="33" spans="1:7" ht="15.75" customHeight="1" x14ac:dyDescent="0.3">
      <c r="C33" s="95">
        <v>293.85000000000002</v>
      </c>
      <c r="D33" s="88">
        <f t="shared" si="0"/>
        <v>-1.6386857709990512E-2</v>
      </c>
      <c r="E33" s="53"/>
    </row>
    <row r="34" spans="1:7" ht="15.75" customHeight="1" x14ac:dyDescent="0.3">
      <c r="C34" s="95">
        <v>299.64</v>
      </c>
      <c r="D34" s="88">
        <f t="shared" si="0"/>
        <v>2.9941873601443156E-3</v>
      </c>
      <c r="E34" s="53"/>
    </row>
    <row r="35" spans="1:7" ht="15.75" customHeight="1" x14ac:dyDescent="0.3">
      <c r="C35" s="95">
        <v>299.98</v>
      </c>
      <c r="D35" s="88">
        <f t="shared" si="0"/>
        <v>4.1322798167671999E-3</v>
      </c>
      <c r="E35" s="53"/>
    </row>
    <row r="36" spans="1:7" ht="15.75" customHeight="1" x14ac:dyDescent="0.3">
      <c r="C36" s="95">
        <v>297.11</v>
      </c>
      <c r="D36" s="88">
        <f t="shared" si="0"/>
        <v>-5.4745594494309676E-3</v>
      </c>
      <c r="E36" s="53"/>
    </row>
    <row r="37" spans="1:7" ht="15.75" customHeight="1" x14ac:dyDescent="0.3">
      <c r="C37" s="95">
        <v>297.36</v>
      </c>
      <c r="D37" s="88">
        <f t="shared" si="0"/>
        <v>-4.6377267607377488E-3</v>
      </c>
      <c r="E37" s="53"/>
    </row>
    <row r="38" spans="1:7" ht="15.75" customHeight="1" x14ac:dyDescent="0.3">
      <c r="C38" s="95">
        <v>299.56</v>
      </c>
      <c r="D38" s="88">
        <f t="shared" si="0"/>
        <v>2.7264008997625391E-3</v>
      </c>
      <c r="E38" s="53"/>
    </row>
    <row r="39" spans="1:7" ht="15.75" customHeight="1" x14ac:dyDescent="0.3">
      <c r="C39" s="95">
        <v>297.52999999999997</v>
      </c>
      <c r="D39" s="88">
        <f t="shared" si="0"/>
        <v>-4.0686805324264969E-3</v>
      </c>
      <c r="E39" s="53"/>
    </row>
    <row r="40" spans="1:7" ht="15.75" customHeight="1" x14ac:dyDescent="0.3">
      <c r="C40" s="95">
        <v>298.73</v>
      </c>
      <c r="D40" s="88">
        <f t="shared" si="0"/>
        <v>-5.1883626698894322E-5</v>
      </c>
      <c r="E40" s="53"/>
    </row>
    <row r="41" spans="1:7" ht="15.75" customHeight="1" x14ac:dyDescent="0.3">
      <c r="C41" s="95">
        <v>304.07</v>
      </c>
      <c r="D41" s="88">
        <f t="shared" si="0"/>
        <v>1.7822862603788178E-2</v>
      </c>
      <c r="E41" s="53"/>
    </row>
    <row r="42" spans="1:7" ht="15.75" customHeight="1" x14ac:dyDescent="0.3">
      <c r="C42" s="95">
        <v>297.81</v>
      </c>
      <c r="D42" s="88">
        <f t="shared" si="0"/>
        <v>-3.1314279210899929E-3</v>
      </c>
      <c r="E42" s="53"/>
    </row>
    <row r="43" spans="1:7" ht="16.5" customHeight="1" x14ac:dyDescent="0.3">
      <c r="C43" s="96">
        <v>298.22000000000003</v>
      </c>
      <c r="D43" s="89">
        <f t="shared" si="0"/>
        <v>-1.7590223116330302E-3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5974.91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298.74549999999999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5">
        <f>C46</f>
        <v>298.74549999999999</v>
      </c>
      <c r="C49" s="93">
        <f>-IF(C46&lt;=80,10%,IF(C46&lt;250,7.5%,5%))</f>
        <v>-0.05</v>
      </c>
      <c r="D49" s="81">
        <f>IF(C46&lt;=80,C46*0.9,IF(C46&lt;250,C46*0.925,C46*0.95))</f>
        <v>283.80822499999999</v>
      </c>
    </row>
    <row r="50" spans="1:6" ht="17.25" customHeight="1" x14ac:dyDescent="0.3">
      <c r="B50" s="286"/>
      <c r="C50" s="94">
        <f>IF(C46&lt;=80, 10%, IF(C46&lt;250, 7.5%, 5%))</f>
        <v>0.05</v>
      </c>
      <c r="D50" s="81">
        <f>IF(C46&lt;=80, C46*1.1, IF(C46&lt;250, C46*1.075, C46*1.05))</f>
        <v>313.68277499999999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28" zoomScale="70" zoomScaleNormal="40" zoomScalePageLayoutView="70" workbookViewId="0">
      <selection activeCell="F73" sqref="F7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3" t="s">
        <v>45</v>
      </c>
      <c r="B1" s="293"/>
      <c r="C1" s="293"/>
      <c r="D1" s="293"/>
      <c r="E1" s="293"/>
      <c r="F1" s="293"/>
      <c r="G1" s="293"/>
      <c r="H1" s="293"/>
      <c r="I1" s="293"/>
    </row>
    <row r="2" spans="1:9" ht="18.75" customHeight="1" x14ac:dyDescent="0.25">
      <c r="A2" s="293"/>
      <c r="B2" s="293"/>
      <c r="C2" s="293"/>
      <c r="D2" s="293"/>
      <c r="E2" s="293"/>
      <c r="F2" s="293"/>
      <c r="G2" s="293"/>
      <c r="H2" s="293"/>
      <c r="I2" s="293"/>
    </row>
    <row r="3" spans="1:9" ht="18.75" customHeight="1" x14ac:dyDescent="0.25">
      <c r="A3" s="293"/>
      <c r="B3" s="293"/>
      <c r="C3" s="293"/>
      <c r="D3" s="293"/>
      <c r="E3" s="293"/>
      <c r="F3" s="293"/>
      <c r="G3" s="293"/>
      <c r="H3" s="293"/>
      <c r="I3" s="293"/>
    </row>
    <row r="4" spans="1:9" ht="18.75" customHeight="1" x14ac:dyDescent="0.25">
      <c r="A4" s="293"/>
      <c r="B4" s="293"/>
      <c r="C4" s="293"/>
      <c r="D4" s="293"/>
      <c r="E4" s="293"/>
      <c r="F4" s="293"/>
      <c r="G4" s="293"/>
      <c r="H4" s="293"/>
      <c r="I4" s="293"/>
    </row>
    <row r="5" spans="1:9" ht="18.75" customHeight="1" x14ac:dyDescent="0.25">
      <c r="A5" s="293"/>
      <c r="B5" s="293"/>
      <c r="C5" s="293"/>
      <c r="D5" s="293"/>
      <c r="E5" s="293"/>
      <c r="F5" s="293"/>
      <c r="G5" s="293"/>
      <c r="H5" s="293"/>
      <c r="I5" s="293"/>
    </row>
    <row r="6" spans="1:9" ht="18.75" customHeight="1" x14ac:dyDescent="0.25">
      <c r="A6" s="293"/>
      <c r="B6" s="293"/>
      <c r="C6" s="293"/>
      <c r="D6" s="293"/>
      <c r="E6" s="293"/>
      <c r="F6" s="293"/>
      <c r="G6" s="293"/>
      <c r="H6" s="293"/>
      <c r="I6" s="293"/>
    </row>
    <row r="7" spans="1:9" ht="18.75" customHeight="1" x14ac:dyDescent="0.25">
      <c r="A7" s="293"/>
      <c r="B7" s="293"/>
      <c r="C7" s="293"/>
      <c r="D7" s="293"/>
      <c r="E7" s="293"/>
      <c r="F7" s="293"/>
      <c r="G7" s="293"/>
      <c r="H7" s="293"/>
      <c r="I7" s="293"/>
    </row>
    <row r="8" spans="1:9" x14ac:dyDescent="0.25">
      <c r="A8" s="294" t="s">
        <v>46</v>
      </c>
      <c r="B8" s="294"/>
      <c r="C8" s="294"/>
      <c r="D8" s="294"/>
      <c r="E8" s="294"/>
      <c r="F8" s="294"/>
      <c r="G8" s="294"/>
      <c r="H8" s="294"/>
      <c r="I8" s="294"/>
    </row>
    <row r="9" spans="1:9" x14ac:dyDescent="0.25">
      <c r="A9" s="294"/>
      <c r="B9" s="294"/>
      <c r="C9" s="294"/>
      <c r="D9" s="294"/>
      <c r="E9" s="294"/>
      <c r="F9" s="294"/>
      <c r="G9" s="294"/>
      <c r="H9" s="294"/>
      <c r="I9" s="294"/>
    </row>
    <row r="10" spans="1:9" x14ac:dyDescent="0.25">
      <c r="A10" s="294"/>
      <c r="B10" s="294"/>
      <c r="C10" s="294"/>
      <c r="D10" s="294"/>
      <c r="E10" s="294"/>
      <c r="F10" s="294"/>
      <c r="G10" s="294"/>
      <c r="H10" s="294"/>
      <c r="I10" s="294"/>
    </row>
    <row r="11" spans="1:9" x14ac:dyDescent="0.25">
      <c r="A11" s="294"/>
      <c r="B11" s="294"/>
      <c r="C11" s="294"/>
      <c r="D11" s="294"/>
      <c r="E11" s="294"/>
      <c r="F11" s="294"/>
      <c r="G11" s="294"/>
      <c r="H11" s="294"/>
      <c r="I11" s="294"/>
    </row>
    <row r="12" spans="1:9" x14ac:dyDescent="0.25">
      <c r="A12" s="294"/>
      <c r="B12" s="294"/>
      <c r="C12" s="294"/>
      <c r="D12" s="294"/>
      <c r="E12" s="294"/>
      <c r="F12" s="294"/>
      <c r="G12" s="294"/>
      <c r="H12" s="294"/>
      <c r="I12" s="294"/>
    </row>
    <row r="13" spans="1:9" x14ac:dyDescent="0.25">
      <c r="A13" s="294"/>
      <c r="B13" s="294"/>
      <c r="C13" s="294"/>
      <c r="D13" s="294"/>
      <c r="E13" s="294"/>
      <c r="F13" s="294"/>
      <c r="G13" s="294"/>
      <c r="H13" s="294"/>
      <c r="I13" s="294"/>
    </row>
    <row r="14" spans="1:9" x14ac:dyDescent="0.25">
      <c r="A14" s="294"/>
      <c r="B14" s="294"/>
      <c r="C14" s="294"/>
      <c r="D14" s="294"/>
      <c r="E14" s="294"/>
      <c r="F14" s="294"/>
      <c r="G14" s="294"/>
      <c r="H14" s="294"/>
      <c r="I14" s="294"/>
    </row>
    <row r="15" spans="1:9" ht="19.5" customHeight="1" x14ac:dyDescent="0.3">
      <c r="A15" s="98"/>
    </row>
    <row r="16" spans="1:9" ht="19.5" customHeight="1" x14ac:dyDescent="0.3">
      <c r="A16" s="327" t="s">
        <v>31</v>
      </c>
      <c r="B16" s="328"/>
      <c r="C16" s="328"/>
      <c r="D16" s="328"/>
      <c r="E16" s="328"/>
      <c r="F16" s="328"/>
      <c r="G16" s="328"/>
      <c r="H16" s="329"/>
    </row>
    <row r="17" spans="1:14" ht="20.25" customHeight="1" x14ac:dyDescent="0.25">
      <c r="A17" s="330" t="s">
        <v>47</v>
      </c>
      <c r="B17" s="330"/>
      <c r="C17" s="330"/>
      <c r="D17" s="330"/>
      <c r="E17" s="330"/>
      <c r="F17" s="330"/>
      <c r="G17" s="330"/>
      <c r="H17" s="330"/>
    </row>
    <row r="18" spans="1:14" ht="26.25" customHeight="1" x14ac:dyDescent="0.4">
      <c r="A18" s="100" t="s">
        <v>33</v>
      </c>
      <c r="B18" s="326" t="s">
        <v>5</v>
      </c>
      <c r="C18" s="326"/>
      <c r="D18" s="270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2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1" t="s">
        <v>128</v>
      </c>
      <c r="C20" s="331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1" t="s">
        <v>11</v>
      </c>
      <c r="C21" s="331"/>
      <c r="D21" s="331"/>
      <c r="E21" s="331"/>
      <c r="F21" s="331"/>
      <c r="G21" s="331"/>
      <c r="H21" s="331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 t="s">
        <v>126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6" t="s">
        <v>9</v>
      </c>
      <c r="C26" s="326"/>
    </row>
    <row r="27" spans="1:14" ht="26.25" customHeight="1" x14ac:dyDescent="0.4">
      <c r="A27" s="109" t="s">
        <v>48</v>
      </c>
      <c r="B27" s="324" t="s">
        <v>127</v>
      </c>
      <c r="C27" s="324"/>
    </row>
    <row r="28" spans="1:14" ht="27" customHeight="1" x14ac:dyDescent="0.4">
      <c r="A28" s="109" t="s">
        <v>6</v>
      </c>
      <c r="B28" s="110">
        <v>99.7</v>
      </c>
    </row>
    <row r="29" spans="1:14" s="14" customFormat="1" ht="27" customHeight="1" x14ac:dyDescent="0.4">
      <c r="A29" s="109" t="s">
        <v>49</v>
      </c>
      <c r="B29" s="111">
        <v>0</v>
      </c>
      <c r="C29" s="301" t="s">
        <v>50</v>
      </c>
      <c r="D29" s="302"/>
      <c r="E29" s="302"/>
      <c r="F29" s="302"/>
      <c r="G29" s="303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586.18299999999999</v>
      </c>
      <c r="C31" s="304" t="s">
        <v>53</v>
      </c>
      <c r="D31" s="305"/>
      <c r="E31" s="305"/>
      <c r="F31" s="305"/>
      <c r="G31" s="305"/>
      <c r="H31" s="306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608.16499999999996</v>
      </c>
      <c r="C32" s="304" t="s">
        <v>55</v>
      </c>
      <c r="D32" s="305"/>
      <c r="E32" s="305"/>
      <c r="F32" s="305"/>
      <c r="G32" s="305"/>
      <c r="H32" s="306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0.96385520376871414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07" t="s">
        <v>59</v>
      </c>
      <c r="E36" s="325"/>
      <c r="F36" s="307" t="s">
        <v>60</v>
      </c>
      <c r="G36" s="308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50</v>
      </c>
      <c r="C38" s="131">
        <v>1</v>
      </c>
      <c r="D38" s="132">
        <v>24092927</v>
      </c>
      <c r="E38" s="133">
        <f>IF(ISBLANK(D38),"-",$D$48/$D$45*D38)</f>
        <v>23266176.977423534</v>
      </c>
      <c r="F38" s="132">
        <v>25355136</v>
      </c>
      <c r="G38" s="134">
        <f>IF(ISBLANK(F38),"-",$D$48/$F$45*F38)</f>
        <v>23642576.068270508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24092518</v>
      </c>
      <c r="E39" s="138">
        <f>IF(ISBLANK(D39),"-",$D$48/$D$45*D39)</f>
        <v>23265782.012279458</v>
      </c>
      <c r="F39" s="137">
        <v>25322297</v>
      </c>
      <c r="G39" s="139">
        <f>IF(ISBLANK(F39),"-",$D$48/$F$45*F39)</f>
        <v>23611955.11023242</v>
      </c>
      <c r="I39" s="309">
        <f>ABS((F43/D43*D42)-F42)/D42</f>
        <v>1.4768231860368953E-2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24068285</v>
      </c>
      <c r="E40" s="138">
        <f>IF(ISBLANK(D40),"-",$D$48/$D$45*D40)</f>
        <v>23242380.568914197</v>
      </c>
      <c r="F40" s="137">
        <v>25218100</v>
      </c>
      <c r="G40" s="139">
        <f>IF(ISBLANK(F40),"-",$D$48/$F$45*F40)</f>
        <v>23514795.87990585</v>
      </c>
      <c r="I40" s="309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24084576.666666668</v>
      </c>
      <c r="E42" s="148">
        <f>AVERAGE(E38:E41)</f>
        <v>23258113.18620573</v>
      </c>
      <c r="F42" s="147">
        <f>AVERAGE(F38:F41)</f>
        <v>25298511</v>
      </c>
      <c r="G42" s="149">
        <f>AVERAGE(G38:G41)</f>
        <v>23589775.686136261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26.94</v>
      </c>
      <c r="E43" s="140"/>
      <c r="F43" s="152">
        <v>27.9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25.966259189529161</v>
      </c>
      <c r="E44" s="155"/>
      <c r="F44" s="154">
        <f>F43*$B$34</f>
        <v>26.891560185147124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500</v>
      </c>
      <c r="C45" s="153" t="s">
        <v>77</v>
      </c>
      <c r="D45" s="157">
        <f>D44*$B$30/100</f>
        <v>25.888360411960576</v>
      </c>
      <c r="E45" s="158"/>
      <c r="F45" s="157">
        <f>F44*$B$30/100</f>
        <v>26.810885504591685</v>
      </c>
      <c r="H45" s="150"/>
    </row>
    <row r="46" spans="1:14" ht="19.5" customHeight="1" x14ac:dyDescent="0.3">
      <c r="A46" s="295" t="s">
        <v>78</v>
      </c>
      <c r="B46" s="296"/>
      <c r="C46" s="153" t="s">
        <v>79</v>
      </c>
      <c r="D46" s="159">
        <f>D45/$B$45</f>
        <v>5.1776720823921152E-2</v>
      </c>
      <c r="E46" s="160"/>
      <c r="F46" s="161">
        <f>F45/$B$45</f>
        <v>5.3621771009183368E-2</v>
      </c>
      <c r="H46" s="150"/>
    </row>
    <row r="47" spans="1:14" ht="27" customHeight="1" x14ac:dyDescent="0.4">
      <c r="A47" s="297"/>
      <c r="B47" s="298"/>
      <c r="C47" s="162" t="s">
        <v>80</v>
      </c>
      <c r="D47" s="163">
        <v>0.05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25.937505864209641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23423944.436170995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7.9702181684899228E-3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Montelukast Sodium equivalent to Montelukast 5mg</v>
      </c>
    </row>
    <row r="56" spans="1:12" ht="26.25" customHeight="1" x14ac:dyDescent="0.4">
      <c r="A56" s="177" t="s">
        <v>87</v>
      </c>
      <c r="B56" s="178">
        <v>5</v>
      </c>
      <c r="C56" s="99" t="str">
        <f>B20</f>
        <v>Montelukast</v>
      </c>
      <c r="H56" s="179"/>
    </row>
    <row r="57" spans="1:12" ht="18.75" x14ac:dyDescent="0.3">
      <c r="A57" s="176" t="s">
        <v>88</v>
      </c>
      <c r="B57" s="271">
        <f>Uniformity!C46</f>
        <v>298.74549999999999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312" t="s">
        <v>94</v>
      </c>
      <c r="D60" s="315">
        <v>298.26</v>
      </c>
      <c r="E60" s="182">
        <v>1</v>
      </c>
      <c r="F60" s="183">
        <v>22396271</v>
      </c>
      <c r="G60" s="273">
        <f>IF(ISBLANK(F60),"-",(F60/$D$50*$D$47*$B$68)*($B$57/$D$60))</f>
        <v>4.7884179238635758</v>
      </c>
      <c r="H60" s="184">
        <f t="shared" ref="H60:H71" si="0">IF(ISBLANK(F60),"-",G60/$B$56)</f>
        <v>0.9576835847727152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313"/>
      <c r="D61" s="316"/>
      <c r="E61" s="185">
        <v>2</v>
      </c>
      <c r="F61" s="137">
        <v>22533057</v>
      </c>
      <c r="G61" s="274">
        <f>IF(ISBLANK(F61),"-",(F61/$D$50*$D$47*$B$68)*($B$57/$D$60))</f>
        <v>4.817663352003537</v>
      </c>
      <c r="H61" s="186">
        <f t="shared" si="0"/>
        <v>0.96353267040070745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3"/>
      <c r="D62" s="316"/>
      <c r="E62" s="185">
        <v>3</v>
      </c>
      <c r="F62" s="187">
        <v>22504532</v>
      </c>
      <c r="G62" s="274">
        <f>IF(ISBLANK(F62),"-",(F62/$D$50*$D$47*$B$68)*($B$57/$D$60))</f>
        <v>4.8115645857724001</v>
      </c>
      <c r="H62" s="186">
        <f t="shared" si="0"/>
        <v>0.96231291715447997</v>
      </c>
      <c r="L62" s="112"/>
    </row>
    <row r="63" spans="1:12" ht="27" customHeight="1" x14ac:dyDescent="0.4">
      <c r="A63" s="124" t="s">
        <v>97</v>
      </c>
      <c r="B63" s="125">
        <v>1</v>
      </c>
      <c r="C63" s="323"/>
      <c r="D63" s="317"/>
      <c r="E63" s="188">
        <v>4</v>
      </c>
      <c r="F63" s="189"/>
      <c r="G63" s="274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2" t="s">
        <v>99</v>
      </c>
      <c r="D64" s="315">
        <v>297.7</v>
      </c>
      <c r="E64" s="182">
        <v>1</v>
      </c>
      <c r="F64" s="183">
        <v>22471849</v>
      </c>
      <c r="G64" s="275">
        <f>IF(ISBLANK(F64),"-",(F64/$D$50*$D$47*$B$68)*($B$57/$D$64))</f>
        <v>4.8136146549263552</v>
      </c>
      <c r="H64" s="190">
        <f t="shared" si="0"/>
        <v>0.96272293098527106</v>
      </c>
    </row>
    <row r="65" spans="1:8" ht="26.25" customHeight="1" x14ac:dyDescent="0.4">
      <c r="A65" s="124" t="s">
        <v>100</v>
      </c>
      <c r="B65" s="125">
        <v>1</v>
      </c>
      <c r="C65" s="313"/>
      <c r="D65" s="316"/>
      <c r="E65" s="185">
        <v>2</v>
      </c>
      <c r="F65" s="137">
        <v>22474235</v>
      </c>
      <c r="G65" s="276">
        <f>IF(ISBLANK(F65),"-",(F65/$D$50*$D$47*$B$68)*($B$57/$D$64))</f>
        <v>4.8141257514794988</v>
      </c>
      <c r="H65" s="191">
        <f t="shared" si="0"/>
        <v>0.96282515029589977</v>
      </c>
    </row>
    <row r="66" spans="1:8" ht="26.25" customHeight="1" x14ac:dyDescent="0.4">
      <c r="A66" s="124" t="s">
        <v>101</v>
      </c>
      <c r="B66" s="125">
        <v>1</v>
      </c>
      <c r="C66" s="313"/>
      <c r="D66" s="316"/>
      <c r="E66" s="185">
        <v>3</v>
      </c>
      <c r="F66" s="137">
        <v>22464428</v>
      </c>
      <c r="G66" s="276">
        <f>IF(ISBLANK(F66),"-",(F66/$D$50*$D$47*$B$68)*($B$57/$D$64))</f>
        <v>4.8120250289746052</v>
      </c>
      <c r="H66" s="191">
        <f t="shared" si="0"/>
        <v>0.96240500579492105</v>
      </c>
    </row>
    <row r="67" spans="1:8" ht="27" customHeight="1" x14ac:dyDescent="0.4">
      <c r="A67" s="124" t="s">
        <v>102</v>
      </c>
      <c r="B67" s="125">
        <v>1</v>
      </c>
      <c r="C67" s="323"/>
      <c r="D67" s="317"/>
      <c r="E67" s="188">
        <v>4</v>
      </c>
      <c r="F67" s="189"/>
      <c r="G67" s="277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</v>
      </c>
      <c r="C68" s="312" t="s">
        <v>104</v>
      </c>
      <c r="D68" s="315">
        <v>299.94</v>
      </c>
      <c r="E68" s="182">
        <v>1</v>
      </c>
      <c r="F68" s="183">
        <v>23738161</v>
      </c>
      <c r="G68" s="275">
        <f>IF(ISBLANK(F68),"-",(F68/$D$50*$D$47*$B$68)*($B$57/$D$68))</f>
        <v>5.0468922330258312</v>
      </c>
      <c r="H68" s="186">
        <f t="shared" si="0"/>
        <v>1.0093784466051663</v>
      </c>
    </row>
    <row r="69" spans="1:8" ht="27" customHeight="1" x14ac:dyDescent="0.4">
      <c r="A69" s="172" t="s">
        <v>105</v>
      </c>
      <c r="B69" s="194">
        <f>(D47*B68)/B56*B57</f>
        <v>298.74549999999999</v>
      </c>
      <c r="C69" s="313"/>
      <c r="D69" s="316"/>
      <c r="E69" s="185">
        <v>2</v>
      </c>
      <c r="F69" s="137"/>
      <c r="G69" s="276" t="str">
        <f>IF(ISBLANK(F69),"-",(F69/$D$50*$D$47*$B$68)*($B$57/$D$68))</f>
        <v>-</v>
      </c>
      <c r="H69" s="186" t="str">
        <f t="shared" si="0"/>
        <v>-</v>
      </c>
    </row>
    <row r="70" spans="1:8" ht="26.25" customHeight="1" x14ac:dyDescent="0.4">
      <c r="A70" s="318" t="s">
        <v>78</v>
      </c>
      <c r="B70" s="319"/>
      <c r="C70" s="313"/>
      <c r="D70" s="316"/>
      <c r="E70" s="185">
        <v>3</v>
      </c>
      <c r="F70" s="137"/>
      <c r="G70" s="276" t="str">
        <f>IF(ISBLANK(F70),"-",(F70/$D$50*$D$47*$B$68)*($B$57/$D$68))</f>
        <v>-</v>
      </c>
      <c r="H70" s="186" t="str">
        <f t="shared" si="0"/>
        <v>-</v>
      </c>
    </row>
    <row r="71" spans="1:8" ht="27" customHeight="1" x14ac:dyDescent="0.4">
      <c r="A71" s="320"/>
      <c r="B71" s="321"/>
      <c r="C71" s="314"/>
      <c r="D71" s="317"/>
      <c r="E71" s="188">
        <v>4</v>
      </c>
      <c r="F71" s="189"/>
      <c r="G71" s="277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7"/>
      <c r="G72" s="198" t="s">
        <v>71</v>
      </c>
      <c r="H72" s="199">
        <f>AVERAGE(H60:H71)</f>
        <v>0.96869438657273732</v>
      </c>
    </row>
    <row r="73" spans="1:8" ht="26.25" customHeight="1" x14ac:dyDescent="0.4">
      <c r="C73" s="196"/>
      <c r="D73" s="196"/>
      <c r="E73" s="196"/>
      <c r="F73" s="197"/>
      <c r="G73" s="200" t="s">
        <v>84</v>
      </c>
      <c r="H73" s="278">
        <f>STDEV(H60:H71)/H72</f>
        <v>1.8626866262129352E-2</v>
      </c>
    </row>
    <row r="74" spans="1:8" ht="27" customHeight="1" x14ac:dyDescent="0.4">
      <c r="A74" s="196"/>
      <c r="B74" s="196"/>
      <c r="C74" s="197"/>
      <c r="D74" s="197"/>
      <c r="E74" s="201"/>
      <c r="F74" s="197"/>
      <c r="G74" s="202" t="s">
        <v>20</v>
      </c>
      <c r="H74" s="203">
        <f>COUNT(H60:H71)</f>
        <v>7</v>
      </c>
    </row>
    <row r="76" spans="1:8" ht="26.25" customHeight="1" x14ac:dyDescent="0.4">
      <c r="A76" s="108" t="s">
        <v>106</v>
      </c>
      <c r="B76" s="204" t="s">
        <v>107</v>
      </c>
      <c r="C76" s="299" t="str">
        <f>B20</f>
        <v>Montelukast</v>
      </c>
      <c r="D76" s="299"/>
      <c r="E76" s="205" t="s">
        <v>108</v>
      </c>
      <c r="F76" s="205"/>
      <c r="G76" s="206">
        <f>H72</f>
        <v>0.96869438657273732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2" t="str">
        <f>B26</f>
        <v>Montelukast Sodium</v>
      </c>
      <c r="C79" s="322"/>
    </row>
    <row r="80" spans="1:8" ht="26.25" customHeight="1" x14ac:dyDescent="0.4">
      <c r="A80" s="109" t="s">
        <v>48</v>
      </c>
      <c r="B80" s="322" t="str">
        <f>B27</f>
        <v>M6 1</v>
      </c>
      <c r="C80" s="322"/>
    </row>
    <row r="81" spans="1:12" ht="27" customHeight="1" x14ac:dyDescent="0.4">
      <c r="A81" s="109" t="s">
        <v>6</v>
      </c>
      <c r="B81" s="208">
        <f>B28</f>
        <v>99.7</v>
      </c>
    </row>
    <row r="82" spans="1:12" s="14" customFormat="1" ht="27" customHeight="1" x14ac:dyDescent="0.4">
      <c r="A82" s="109" t="s">
        <v>49</v>
      </c>
      <c r="B82" s="111">
        <v>0</v>
      </c>
      <c r="C82" s="301" t="s">
        <v>50</v>
      </c>
      <c r="D82" s="302"/>
      <c r="E82" s="302"/>
      <c r="F82" s="302"/>
      <c r="G82" s="303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282">
        <v>586.18299999999999</v>
      </c>
      <c r="C84" s="304" t="s">
        <v>111</v>
      </c>
      <c r="D84" s="305"/>
      <c r="E84" s="305"/>
      <c r="F84" s="305"/>
      <c r="G84" s="305"/>
      <c r="H84" s="306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282">
        <v>608.16499999999996</v>
      </c>
      <c r="C85" s="304" t="s">
        <v>112</v>
      </c>
      <c r="D85" s="305"/>
      <c r="E85" s="305"/>
      <c r="F85" s="305"/>
      <c r="G85" s="305"/>
      <c r="H85" s="306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0.96385520376871414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9" t="s">
        <v>59</v>
      </c>
      <c r="E89" s="210"/>
      <c r="F89" s="307" t="s">
        <v>60</v>
      </c>
      <c r="G89" s="308"/>
    </row>
    <row r="90" spans="1:12" ht="27" customHeight="1" x14ac:dyDescent="0.4">
      <c r="A90" s="124" t="s">
        <v>61</v>
      </c>
      <c r="B90" s="125">
        <v>2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13">
        <v>1</v>
      </c>
      <c r="D91" s="132">
        <v>694322</v>
      </c>
      <c r="E91" s="133">
        <f>IF(ISBLANK(D91),"-",$D$101/$D$98*D91)</f>
        <v>2088034.6855809677</v>
      </c>
      <c r="F91" s="132">
        <v>819997</v>
      </c>
      <c r="G91" s="134">
        <f>IF(ISBLANK(F91),"-",$D$101/$F$98*F91)</f>
        <v>2100582.4393632975</v>
      </c>
      <c r="I91" s="135"/>
    </row>
    <row r="92" spans="1:12" ht="26.25" customHeight="1" x14ac:dyDescent="0.4">
      <c r="A92" s="124" t="s">
        <v>67</v>
      </c>
      <c r="B92" s="125">
        <v>5</v>
      </c>
      <c r="C92" s="197">
        <v>2</v>
      </c>
      <c r="D92" s="137">
        <v>704391</v>
      </c>
      <c r="E92" s="138">
        <f>IF(ISBLANK(D92),"-",$D$101/$D$98*D92)</f>
        <v>2118315.1912384504</v>
      </c>
      <c r="F92" s="137">
        <v>818816</v>
      </c>
      <c r="G92" s="139">
        <f>IF(ISBLANK(F92),"-",$D$101/$F$98*F92)</f>
        <v>2097557.0772450361</v>
      </c>
      <c r="I92" s="309">
        <f>ABS((F96/D96*D95)-F95)/D95</f>
        <v>1.1274405921049181E-2</v>
      </c>
    </row>
    <row r="93" spans="1:12" ht="26.25" customHeight="1" x14ac:dyDescent="0.4">
      <c r="A93" s="124" t="s">
        <v>68</v>
      </c>
      <c r="B93" s="125">
        <v>50</v>
      </c>
      <c r="C93" s="197">
        <v>3</v>
      </c>
      <c r="D93" s="137">
        <v>688607</v>
      </c>
      <c r="E93" s="138">
        <f>IF(ISBLANK(D93),"-",$D$101/$D$98*D93)</f>
        <v>2070847.9649699326</v>
      </c>
      <c r="F93" s="137">
        <v>835128</v>
      </c>
      <c r="G93" s="139">
        <f>IF(ISBLANK(F93),"-",$D$101/$F$98*F93)</f>
        <v>2139343.4505499313</v>
      </c>
      <c r="I93" s="309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695773.33333333337</v>
      </c>
      <c r="E95" s="148">
        <f>AVERAGE(E91:E94)</f>
        <v>2092399.28059645</v>
      </c>
      <c r="F95" s="218">
        <f>AVERAGE(F91:F94)</f>
        <v>824647</v>
      </c>
      <c r="G95" s="219">
        <f>AVERAGE(G91:G94)</f>
        <v>2112494.3223860883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24.03</v>
      </c>
      <c r="E96" s="140"/>
      <c r="F96" s="152">
        <v>28.21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23.161440546562201</v>
      </c>
      <c r="E97" s="155"/>
      <c r="F97" s="154">
        <f>F96*$B$87</f>
        <v>27.190355298315428</v>
      </c>
    </row>
    <row r="98" spans="1:10" ht="19.5" customHeight="1" x14ac:dyDescent="0.3">
      <c r="A98" s="124" t="s">
        <v>76</v>
      </c>
      <c r="B98" s="224">
        <f>(B97/B96)*(B95/B94)*(B93/B92)*(B91/B90)*B89</f>
        <v>12500</v>
      </c>
      <c r="C98" s="222" t="s">
        <v>115</v>
      </c>
      <c r="D98" s="225">
        <f>D97*$B$83/100</f>
        <v>23.091956224922516</v>
      </c>
      <c r="E98" s="158"/>
      <c r="F98" s="157">
        <f>F97*$B$83/100</f>
        <v>27.108784232420479</v>
      </c>
    </row>
    <row r="99" spans="1:10" ht="19.5" customHeight="1" x14ac:dyDescent="0.3">
      <c r="A99" s="295" t="s">
        <v>78</v>
      </c>
      <c r="B99" s="310"/>
      <c r="C99" s="222" t="s">
        <v>116</v>
      </c>
      <c r="D99" s="226">
        <f>D98/$B$98</f>
        <v>1.8473564979938012E-3</v>
      </c>
      <c r="E99" s="158"/>
      <c r="F99" s="161">
        <f>F98/$B$98</f>
        <v>2.1687027385936383E-3</v>
      </c>
      <c r="G99" s="227"/>
      <c r="H99" s="150"/>
    </row>
    <row r="100" spans="1:10" ht="19.5" customHeight="1" x14ac:dyDescent="0.3">
      <c r="A100" s="297"/>
      <c r="B100" s="311"/>
      <c r="C100" s="222" t="s">
        <v>80</v>
      </c>
      <c r="D100" s="228">
        <f>$B$56/$B$116</f>
        <v>5.5555555555555558E-3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69.444444444444443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72.048627400582333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2102446.8014912694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1.1349182877694361E-2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2103701</v>
      </c>
      <c r="E108" s="279">
        <f t="shared" ref="E108:E113" si="1">IF(ISBLANK(D108),"-",D108/$D$103*$D$100*$B$116)</f>
        <v>5.0029827116382704</v>
      </c>
      <c r="F108" s="245">
        <f>IF(ISBLANK(D108), "-", E108/$B$56)</f>
        <v>1.0005965423276542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>
        <v>2075012</v>
      </c>
      <c r="E109" s="280">
        <f t="shared" si="1"/>
        <v>4.9347550637861328</v>
      </c>
      <c r="F109" s="246">
        <f t="shared" ref="F109:F113" si="2">IF(ISBLANK(D109), "-", E109/$B$56)</f>
        <v>0.98695101275722652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2111182</v>
      </c>
      <c r="E110" s="280">
        <f t="shared" si="1"/>
        <v>5.0207738871265022</v>
      </c>
      <c r="F110" s="246">
        <f>IF(ISBLANK(D110), "-", E110/$B$56)</f>
        <v>1.0041547774253003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2211442</v>
      </c>
      <c r="E111" s="280">
        <f t="shared" si="1"/>
        <v>5.2592103601180789</v>
      </c>
      <c r="F111" s="246">
        <f t="shared" si="2"/>
        <v>1.0518420720236157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2158969</v>
      </c>
      <c r="E112" s="280">
        <f t="shared" si="1"/>
        <v>5.1344200444659043</v>
      </c>
      <c r="F112" s="246">
        <f t="shared" si="2"/>
        <v>1.0268840088931808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2232001</v>
      </c>
      <c r="E113" s="281">
        <f t="shared" si="1"/>
        <v>5.3081033927156636</v>
      </c>
      <c r="F113" s="249">
        <f t="shared" si="2"/>
        <v>1.0616206785431328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/>
      <c r="E115" s="252" t="s">
        <v>71</v>
      </c>
      <c r="F115" s="253">
        <f>AVERAGE(F108:F113)</f>
        <v>1.0220081819950184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54"/>
      <c r="D116" s="255"/>
      <c r="E116" s="216" t="s">
        <v>84</v>
      </c>
      <c r="F116" s="256">
        <f>STDEV(F108:F113)/F115</f>
        <v>2.9318700537855322E-2</v>
      </c>
      <c r="I116" s="98"/>
    </row>
    <row r="117" spans="1:10" ht="27" customHeight="1" x14ac:dyDescent="0.4">
      <c r="A117" s="295" t="s">
        <v>78</v>
      </c>
      <c r="B117" s="296"/>
      <c r="C117" s="257"/>
      <c r="D117" s="258"/>
      <c r="E117" s="259" t="s">
        <v>20</v>
      </c>
      <c r="F117" s="260">
        <f>COUNT(F108:F113)</f>
        <v>6</v>
      </c>
      <c r="I117" s="98"/>
      <c r="J117" s="236"/>
    </row>
    <row r="118" spans="1:10" ht="19.5" customHeight="1" x14ac:dyDescent="0.3">
      <c r="A118" s="297"/>
      <c r="B118" s="298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9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299" t="str">
        <f>B20</f>
        <v>Montelukast</v>
      </c>
      <c r="D120" s="299"/>
      <c r="E120" s="205" t="s">
        <v>124</v>
      </c>
      <c r="F120" s="205"/>
      <c r="G120" s="206">
        <f>F115</f>
        <v>1.0220081819950184</v>
      </c>
      <c r="H120" s="98"/>
      <c r="I120" s="98"/>
    </row>
    <row r="121" spans="1:10" ht="19.5" customHeight="1" x14ac:dyDescent="0.3">
      <c r="A121" s="261"/>
      <c r="B121" s="261"/>
      <c r="C121" s="262"/>
      <c r="D121" s="262"/>
      <c r="E121" s="262"/>
      <c r="F121" s="262"/>
      <c r="G121" s="262"/>
      <c r="H121" s="262"/>
    </row>
    <row r="122" spans="1:10" ht="18.75" x14ac:dyDescent="0.3">
      <c r="B122" s="300" t="s">
        <v>26</v>
      </c>
      <c r="C122" s="300"/>
      <c r="E122" s="211" t="s">
        <v>27</v>
      </c>
      <c r="F122" s="263"/>
      <c r="G122" s="300" t="s">
        <v>28</v>
      </c>
      <c r="H122" s="300"/>
    </row>
    <row r="123" spans="1:10" ht="69.95" customHeight="1" x14ac:dyDescent="0.3">
      <c r="A123" s="264" t="s">
        <v>29</v>
      </c>
      <c r="B123" s="265"/>
      <c r="C123" s="265"/>
      <c r="E123" s="265"/>
      <c r="F123" s="98"/>
      <c r="G123" s="266"/>
      <c r="H123" s="266"/>
    </row>
    <row r="124" spans="1:10" ht="69.95" customHeight="1" x14ac:dyDescent="0.3">
      <c r="A124" s="264" t="s">
        <v>30</v>
      </c>
      <c r="B124" s="267"/>
      <c r="C124" s="267"/>
      <c r="E124" s="267"/>
      <c r="F124" s="98"/>
      <c r="G124" s="268"/>
      <c r="H124" s="268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Montelukast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2015-11-24T07:11:44Z</cp:lastPrinted>
  <dcterms:created xsi:type="dcterms:W3CDTF">2005-07-05T10:19:27Z</dcterms:created>
  <dcterms:modified xsi:type="dcterms:W3CDTF">2015-11-24T11:52:44Z</dcterms:modified>
</cp:coreProperties>
</file>