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75" windowHeight="9405" activeTab="1"/>
  </bookViews>
  <sheets>
    <sheet name="SST" sheetId="1" r:id="rId1"/>
    <sheet name="Uniformity" sheetId="2" r:id="rId2"/>
    <sheet name="Amoxicillin" sheetId="3" r:id="rId3"/>
    <sheet name="SST (2)" sheetId="5" r:id="rId4"/>
    <sheet name="Uniformity (3)" sheetId="7" r:id="rId5"/>
    <sheet name="Clavulanic Acid" sheetId="8" r:id="rId6"/>
  </sheets>
  <definedNames>
    <definedName name="_xlnm.Print_Area" localSheetId="0">SST!$A$1:$G$61</definedName>
    <definedName name="_xlnm.Print_Area" localSheetId="1">Uniformity!$A$1:$H$52</definedName>
  </definedNames>
  <calcPr calcId="145621"/>
</workbook>
</file>

<file path=xl/calcChain.xml><?xml version="1.0" encoding="utf-8"?>
<calcChain xmlns="http://schemas.openxmlformats.org/spreadsheetml/2006/main">
  <c r="G120" i="8" l="1"/>
  <c r="F113" i="8"/>
  <c r="F112" i="8"/>
  <c r="F111" i="8"/>
  <c r="F110" i="8"/>
  <c r="E109" i="8"/>
  <c r="G91" i="8"/>
  <c r="E113" i="8"/>
  <c r="E112" i="8"/>
  <c r="E111" i="8"/>
  <c r="E110" i="8"/>
  <c r="E108" i="8"/>
  <c r="G64" i="8"/>
  <c r="G38" i="8"/>
  <c r="E38" i="8"/>
  <c r="B30" i="8"/>
  <c r="D40" i="7"/>
  <c r="D38" i="7"/>
  <c r="D36" i="7"/>
  <c r="D35" i="7"/>
  <c r="D34" i="7"/>
  <c r="D33" i="7"/>
  <c r="D32" i="7"/>
  <c r="D31" i="7"/>
  <c r="D29" i="7"/>
  <c r="D27" i="7"/>
  <c r="D25" i="7"/>
  <c r="D23" i="7"/>
  <c r="D21" i="7"/>
  <c r="C120" i="8"/>
  <c r="B116" i="8"/>
  <c r="D100" i="8" s="1"/>
  <c r="D101" i="8" s="1"/>
  <c r="B98" i="8"/>
  <c r="F97" i="8"/>
  <c r="F95" i="8"/>
  <c r="D95" i="8"/>
  <c r="G94" i="8"/>
  <c r="E94" i="8"/>
  <c r="B87" i="8"/>
  <c r="D97" i="8" s="1"/>
  <c r="B81" i="8"/>
  <c r="B83" i="8" s="1"/>
  <c r="B80" i="8"/>
  <c r="B79" i="8"/>
  <c r="C76" i="8"/>
  <c r="H71" i="8"/>
  <c r="G71" i="8"/>
  <c r="B69" i="8"/>
  <c r="B68" i="8"/>
  <c r="H67" i="8"/>
  <c r="G67" i="8"/>
  <c r="H63" i="8"/>
  <c r="G63" i="8"/>
  <c r="C56" i="8"/>
  <c r="B55" i="8"/>
  <c r="D48" i="8"/>
  <c r="B45" i="8"/>
  <c r="F44" i="8"/>
  <c r="F45" i="8" s="1"/>
  <c r="D44" i="8"/>
  <c r="D45" i="8" s="1"/>
  <c r="F42" i="8"/>
  <c r="D42" i="8"/>
  <c r="I39" i="8" s="1"/>
  <c r="G41" i="8"/>
  <c r="E41" i="8"/>
  <c r="B34" i="8"/>
  <c r="C43" i="7"/>
  <c r="B43" i="7"/>
  <c r="C42" i="7"/>
  <c r="B42" i="7"/>
  <c r="D39" i="7"/>
  <c r="D37" i="7"/>
  <c r="D30" i="7"/>
  <c r="D28" i="7"/>
  <c r="D26" i="7"/>
  <c r="D24" i="7"/>
  <c r="D22" i="7"/>
  <c r="B53" i="5"/>
  <c r="E51" i="5"/>
  <c r="D51" i="5"/>
  <c r="C51" i="5"/>
  <c r="B51" i="5"/>
  <c r="B52" i="5" s="1"/>
  <c r="B32" i="5"/>
  <c r="E30" i="5"/>
  <c r="D30" i="5"/>
  <c r="C30" i="5"/>
  <c r="B30" i="5"/>
  <c r="B31" i="5" s="1"/>
  <c r="E113" i="3"/>
  <c r="E112" i="3"/>
  <c r="F111" i="3"/>
  <c r="F109" i="3"/>
  <c r="F108" i="3"/>
  <c r="B116" i="3"/>
  <c r="B98" i="3"/>
  <c r="G76" i="3"/>
  <c r="B68" i="3"/>
  <c r="G60" i="3" s="1"/>
  <c r="D39" i="2"/>
  <c r="D37" i="2"/>
  <c r="D35" i="2"/>
  <c r="D34" i="2"/>
  <c r="D33" i="2"/>
  <c r="D31" i="2"/>
  <c r="D29" i="2"/>
  <c r="D28" i="2"/>
  <c r="D26" i="2"/>
  <c r="D24" i="2"/>
  <c r="D22" i="2"/>
  <c r="D21" i="2"/>
  <c r="B45" i="3"/>
  <c r="I92" i="8" l="1"/>
  <c r="F98" i="8"/>
  <c r="F99" i="8" s="1"/>
  <c r="D98" i="8"/>
  <c r="D99" i="8" s="1"/>
  <c r="D49" i="8"/>
  <c r="G40" i="8"/>
  <c r="G39" i="8"/>
  <c r="D42" i="7"/>
  <c r="D46" i="8"/>
  <c r="E39" i="8"/>
  <c r="E40" i="8"/>
  <c r="G92" i="8"/>
  <c r="D102" i="8"/>
  <c r="E93" i="8"/>
  <c r="F46" i="8"/>
  <c r="D43" i="7"/>
  <c r="B69" i="3"/>
  <c r="D95" i="3"/>
  <c r="C42" i="2"/>
  <c r="B42" i="2"/>
  <c r="G93" i="8" l="1"/>
  <c r="G95" i="8" s="1"/>
  <c r="E92" i="8"/>
  <c r="E91" i="8"/>
  <c r="D103" i="8" s="1"/>
  <c r="G42" i="8"/>
  <c r="D48" i="7"/>
  <c r="C48" i="7"/>
  <c r="E39" i="7"/>
  <c r="E37" i="7"/>
  <c r="E35" i="7"/>
  <c r="E33" i="7"/>
  <c r="E31" i="7"/>
  <c r="E29" i="7"/>
  <c r="E27" i="7"/>
  <c r="E25" i="7"/>
  <c r="E23" i="7"/>
  <c r="E21" i="7"/>
  <c r="B47" i="7"/>
  <c r="D47" i="7"/>
  <c r="C47" i="7"/>
  <c r="E34" i="7"/>
  <c r="D50" i="8"/>
  <c r="G60" i="8" s="1"/>
  <c r="E42" i="8"/>
  <c r="D52" i="8"/>
  <c r="E32" i="7"/>
  <c r="E30" i="7"/>
  <c r="E28" i="7"/>
  <c r="E22" i="7"/>
  <c r="E26" i="7"/>
  <c r="E40" i="7"/>
  <c r="E24" i="7"/>
  <c r="E38" i="7"/>
  <c r="D105" i="8"/>
  <c r="E36" i="7"/>
  <c r="B87" i="3"/>
  <c r="D48" i="3"/>
  <c r="B34" i="3"/>
  <c r="B30" i="3"/>
  <c r="C120" i="3"/>
  <c r="D100" i="3"/>
  <c r="F95" i="3"/>
  <c r="F97" i="3"/>
  <c r="B81" i="3"/>
  <c r="B83" i="3" s="1"/>
  <c r="B80" i="3"/>
  <c r="B79" i="3"/>
  <c r="C76" i="3"/>
  <c r="C56" i="3"/>
  <c r="B55" i="3"/>
  <c r="F42" i="3"/>
  <c r="D42" i="3"/>
  <c r="F44" i="3"/>
  <c r="C43" i="2"/>
  <c r="B43" i="2"/>
  <c r="D40" i="2"/>
  <c r="D38" i="2"/>
  <c r="D36" i="2"/>
  <c r="D32" i="2"/>
  <c r="D30" i="2"/>
  <c r="D27" i="2"/>
  <c r="D25" i="2"/>
  <c r="D23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E95" i="8" l="1"/>
  <c r="G70" i="8"/>
  <c r="H70" i="8" s="1"/>
  <c r="G65" i="8"/>
  <c r="H65" i="8" s="1"/>
  <c r="G61" i="8"/>
  <c r="H61" i="8" s="1"/>
  <c r="G68" i="8"/>
  <c r="H68" i="8" s="1"/>
  <c r="G69" i="8"/>
  <c r="H69" i="8" s="1"/>
  <c r="G66" i="8"/>
  <c r="H66" i="8" s="1"/>
  <c r="H64" i="8"/>
  <c r="G62" i="8"/>
  <c r="H62" i="8" s="1"/>
  <c r="H60" i="8"/>
  <c r="D51" i="8"/>
  <c r="F108" i="8"/>
  <c r="F109" i="8"/>
  <c r="D104" i="8"/>
  <c r="D42" i="2"/>
  <c r="D101" i="3"/>
  <c r="I92" i="3"/>
  <c r="I39" i="3"/>
  <c r="F45" i="3"/>
  <c r="F98" i="3"/>
  <c r="F99" i="3" s="1"/>
  <c r="D49" i="3"/>
  <c r="D43" i="2"/>
  <c r="E39" i="2" s="1"/>
  <c r="D97" i="3"/>
  <c r="D98" i="3" s="1"/>
  <c r="D44" i="3"/>
  <c r="D45" i="3" s="1"/>
  <c r="F115" i="8" l="1"/>
  <c r="F117" i="8"/>
  <c r="H72" i="8"/>
  <c r="H74" i="8"/>
  <c r="E91" i="3"/>
  <c r="G91" i="3"/>
  <c r="D102" i="3"/>
  <c r="E21" i="2"/>
  <c r="E33" i="2"/>
  <c r="E35" i="2"/>
  <c r="E31" i="2"/>
  <c r="E29" i="2"/>
  <c r="G92" i="3"/>
  <c r="F46" i="3"/>
  <c r="G38" i="3"/>
  <c r="D46" i="3"/>
  <c r="E38" i="3"/>
  <c r="G41" i="3"/>
  <c r="G94" i="3"/>
  <c r="G93" i="3"/>
  <c r="G39" i="3"/>
  <c r="G40" i="3"/>
  <c r="E41" i="3"/>
  <c r="E25" i="2"/>
  <c r="D99" i="3"/>
  <c r="E93" i="3"/>
  <c r="E39" i="3"/>
  <c r="E92" i="3"/>
  <c r="E94" i="3"/>
  <c r="C47" i="2"/>
  <c r="E40" i="2"/>
  <c r="E38" i="2"/>
  <c r="E36" i="2"/>
  <c r="E32" i="2"/>
  <c r="E26" i="2"/>
  <c r="E22" i="2"/>
  <c r="D48" i="2"/>
  <c r="B47" i="2"/>
  <c r="E28" i="2"/>
  <c r="C48" i="2"/>
  <c r="D47" i="2"/>
  <c r="E34" i="2"/>
  <c r="E30" i="2"/>
  <c r="E24" i="2"/>
  <c r="E40" i="3"/>
  <c r="E37" i="2"/>
  <c r="E27" i="2"/>
  <c r="E23" i="2"/>
  <c r="F116" i="8" l="1"/>
  <c r="H73" i="8"/>
  <c r="G76" i="8"/>
  <c r="G95" i="3"/>
  <c r="D103" i="3"/>
  <c r="G42" i="3"/>
  <c r="D105" i="3"/>
  <c r="E95" i="3"/>
  <c r="D50" i="3"/>
  <c r="E42" i="3"/>
  <c r="D52" i="3"/>
  <c r="F112" i="3" l="1"/>
  <c r="E111" i="3"/>
  <c r="E108" i="3"/>
  <c r="E110" i="3"/>
  <c r="F110" i="3" s="1"/>
  <c r="F113" i="3"/>
  <c r="E109" i="3"/>
  <c r="G62" i="3"/>
  <c r="H62" i="3" s="1"/>
  <c r="G65" i="3"/>
  <c r="H65" i="3" s="1"/>
  <c r="G69" i="3"/>
  <c r="H69" i="3" s="1"/>
  <c r="G61" i="3"/>
  <c r="H61" i="3" s="1"/>
  <c r="G66" i="3"/>
  <c r="H66" i="3" s="1"/>
  <c r="H60" i="3"/>
  <c r="D104" i="3"/>
  <c r="G70" i="3"/>
  <c r="H70" i="3" s="1"/>
  <c r="G67" i="3"/>
  <c r="H67" i="3" s="1"/>
  <c r="G63" i="3"/>
  <c r="H63" i="3" s="1"/>
  <c r="G68" i="3"/>
  <c r="H68" i="3" s="1"/>
  <c r="G71" i="3"/>
  <c r="H71" i="3" s="1"/>
  <c r="G64" i="3"/>
  <c r="H64" i="3" s="1"/>
  <c r="D51" i="3"/>
  <c r="F117" i="3" l="1"/>
  <c r="F115" i="3"/>
  <c r="G120" i="3" s="1"/>
  <c r="H72" i="3"/>
  <c r="H74" i="3"/>
  <c r="F116" i="3" l="1"/>
  <c r="H73" i="3"/>
</calcChain>
</file>

<file path=xl/sharedStrings.xml><?xml version="1.0" encoding="utf-8"?>
<sst xmlns="http://schemas.openxmlformats.org/spreadsheetml/2006/main" count="479" uniqueCount="139">
  <si>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</si>
  <si>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</si>
  <si>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</si>
  <si>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</si>
  <si>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</si>
  <si>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</si>
  <si>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</si>
  <si>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Amoxicillin Trihydrate BP</t>
  </si>
  <si>
    <t>Standard Conc (mg/mL):</t>
  </si>
  <si>
    <t>Amoxicillin trihydrate B.P 250 mg</t>
  </si>
  <si>
    <t>2015-05-14 13:46:07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</si>
  <si>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</si>
  <si>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</si>
  <si>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</si>
  <si>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</si>
  <si>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</si>
  <si>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</si>
  <si>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</si>
  <si>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</si>
  <si>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</si>
  <si>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</si>
  <si>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</si>
  <si>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</si>
  <si>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</si>
  <si>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</si>
  <si>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</si>
  <si>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</si>
  <si>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</si>
  <si>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</si>
  <si>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</si>
  <si>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</si>
  <si>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</si>
  <si>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</si>
  <si>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</si>
  <si>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</si>
  <si>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</si>
  <si>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</si>
  <si>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2015-06-29 10:16:57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</si>
  <si>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</si>
  <si>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</si>
  <si>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</si>
  <si>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</si>
  <si>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</si>
  <si>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</si>
  <si>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</si>
  <si>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</si>
  <si>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</si>
  <si>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</si>
  <si>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</si>
  <si>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</si>
  <si>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</si>
  <si>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</si>
  <si>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</si>
  <si>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</si>
  <si>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</si>
  <si>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</si>
  <si>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</si>
  <si>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</si>
  <si>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</si>
  <si>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</si>
  <si>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</si>
  <si>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</si>
  <si>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</si>
  <si>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</si>
  <si>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</si>
  <si>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</si>
  <si>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</si>
  <si>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</si>
  <si>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</si>
  <si>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</si>
  <si>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</si>
  <si>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</si>
  <si>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</si>
  <si>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</si>
  <si>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</si>
  <si>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</si>
  <si>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</si>
  <si>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</si>
  <si>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</si>
  <si>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</si>
  <si>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</si>
  <si>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</si>
  <si>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</si>
  <si>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</si>
  <si>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</si>
  <si>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</si>
  <si>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</si>
  <si>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</si>
  <si>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</si>
  <si>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</si>
  <si>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</si>
  <si>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</si>
  <si>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</si>
  <si>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</si>
  <si>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</si>
  <si>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</si>
  <si>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</si>
  <si>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</si>
  <si>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</si>
  <si>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</si>
  <si>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</si>
  <si>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</si>
  <si>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</si>
  <si>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</si>
  <si>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</si>
  <si>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</si>
  <si>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</si>
  <si>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</si>
  <si>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</si>
  <si>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</si>
  <si>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</si>
  <si>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</si>
  <si>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</si>
  <si>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</si>
  <si>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</si>
  <si>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</si>
  <si>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</si>
  <si>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</si>
  <si>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</si>
  <si>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</si>
  <si>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</si>
  <si>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</si>
  <si>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</si>
  <si>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</si>
  <si>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</si>
  <si>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</si>
  <si>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29th June 2015</t>
  </si>
  <si>
    <t>Amoxicillin</t>
  </si>
  <si>
    <t>A18-015</t>
  </si>
  <si>
    <t>NDQD201505234</t>
  </si>
  <si>
    <t>AMOXICILLIN CAPSULES B.P 500mg</t>
  </si>
  <si>
    <t>AMOXICILLIN CAPSULES B.P 500 mg</t>
  </si>
  <si>
    <t>Amoxicillin trihydrate B.P 500 mg</t>
  </si>
  <si>
    <t>Amoxicillin and Clavulanic Acid</t>
  </si>
  <si>
    <t>Each film coated tablet contains Amoxicillin 500mg Clavulanic acid 125mg</t>
  </si>
  <si>
    <t>AMOXCLAV TABLETS</t>
  </si>
  <si>
    <t>Clavulanate Potassium</t>
  </si>
  <si>
    <t>Clav-Ih 13</t>
  </si>
  <si>
    <t>NDQD201504206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</si>
</sst>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6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7" fontId="14" fillId="3" borderId="0" xfId="0" applyNumberFormat="1" applyFont="1" applyFill="1" applyAlignment="1" applyProtection="1">
      <alignment horizontal="center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33" xfId="0" applyFont="1" applyFill="1" applyBorder="1" applyAlignment="1">
      <alignment horizontal="right"/>
    </xf>
    <xf numFmtId="0" fontId="13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3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3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42" xfId="0" applyNumberFormat="1" applyFont="1" applyFill="1" applyBorder="1" applyAlignment="1">
      <alignment horizontal="center"/>
    </xf>
    <xf numFmtId="0" fontId="18" fillId="2" borderId="31" xfId="0" applyFont="1" applyFill="1" applyBorder="1"/>
    <xf numFmtId="0" fontId="11" fillId="2" borderId="36" xfId="0" applyFont="1" applyFill="1" applyBorder="1" applyAlignment="1">
      <alignment horizontal="center"/>
    </xf>
    <xf numFmtId="0" fontId="13" fillId="3" borderId="35" xfId="0" applyFont="1" applyFill="1" applyBorder="1" applyAlignment="1" applyProtection="1">
      <alignment horizontal="center"/>
      <protection locked="0"/>
    </xf>
    <xf numFmtId="171" fontId="11" fillId="2" borderId="43" xfId="0" applyNumberFormat="1" applyFont="1" applyFill="1" applyBorder="1" applyAlignment="1">
      <alignment horizontal="center"/>
    </xf>
    <xf numFmtId="171" fontId="11" fillId="2" borderId="44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15" xfId="0" applyFont="1" applyFill="1" applyBorder="1" applyAlignment="1">
      <alignment horizontal="center"/>
    </xf>
    <xf numFmtId="0" fontId="13" fillId="3" borderId="45" xfId="0" applyFont="1" applyFill="1" applyBorder="1" applyAlignment="1" applyProtection="1">
      <alignment horizontal="center"/>
      <protection locked="0"/>
    </xf>
    <xf numFmtId="171" fontId="11" fillId="2" borderId="46" xfId="0" applyNumberFormat="1" applyFont="1" applyFill="1" applyBorder="1" applyAlignment="1">
      <alignment horizontal="center"/>
    </xf>
    <xf numFmtId="171" fontId="11" fillId="2" borderId="47" xfId="0" applyNumberFormat="1" applyFont="1" applyFill="1" applyBorder="1" applyAlignment="1">
      <alignment horizontal="center"/>
    </xf>
    <xf numFmtId="0" fontId="11" fillId="2" borderId="32" xfId="0" applyFont="1" applyFill="1" applyBorder="1"/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171" fontId="12" fillId="6" borderId="4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3" fillId="3" borderId="28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8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166" fontId="13" fillId="3" borderId="17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41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32" xfId="0" applyFont="1" applyFill="1" applyBorder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3" fillId="3" borderId="33" xfId="0" applyFont="1" applyFill="1" applyBorder="1" applyAlignment="1" applyProtection="1">
      <alignment horizontal="center"/>
      <protection locked="0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3" xfId="0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0" fontId="11" fillId="2" borderId="32" xfId="0" applyFont="1" applyFill="1" applyBorder="1" applyAlignment="1">
      <alignment horizontal="center"/>
    </xf>
    <xf numFmtId="0" fontId="13" fillId="3" borderId="52" xfId="0" applyFont="1" applyFill="1" applyBorder="1" applyAlignment="1" applyProtection="1">
      <alignment horizontal="center"/>
      <protection locked="0"/>
    </xf>
    <xf numFmtId="10" fontId="11" fillId="2" borderId="34" xfId="0" applyNumberFormat="1" applyFont="1" applyFill="1" applyBorder="1" applyAlignment="1">
      <alignment horizontal="center" vertical="center"/>
    </xf>
    <xf numFmtId="10" fontId="11" fillId="2" borderId="36" xfId="0" applyNumberFormat="1" applyFont="1" applyFill="1" applyBorder="1" applyAlignment="1">
      <alignment horizontal="center" vertical="center"/>
    </xf>
    <xf numFmtId="10" fontId="11" fillId="2" borderId="54" xfId="0" applyNumberFormat="1" applyFont="1" applyFill="1" applyBorder="1" applyAlignment="1">
      <alignment horizontal="center" vertical="center"/>
    </xf>
    <xf numFmtId="0" fontId="14" fillId="2" borderId="36" xfId="0" applyFont="1" applyFill="1" applyBorder="1" applyAlignment="1">
      <alignment horizontal="center"/>
    </xf>
    <xf numFmtId="2" fontId="14" fillId="2" borderId="54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3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3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20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2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45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71" fontId="12" fillId="6" borderId="32" xfId="0" applyNumberFormat="1" applyFont="1" applyFill="1" applyBorder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3" xfId="0" applyFont="1" applyFill="1" applyBorder="1" applyAlignment="1" applyProtection="1">
      <alignment horizontal="center"/>
      <protection locked="0"/>
    </xf>
    <xf numFmtId="0" fontId="11" fillId="2" borderId="37" xfId="0" applyFont="1" applyFill="1" applyBorder="1" applyAlignment="1">
      <alignment horizontal="right"/>
    </xf>
    <xf numFmtId="2" fontId="11" fillId="6" borderId="3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9" xfId="0" applyNumberFormat="1" applyFont="1" applyFill="1" applyBorder="1" applyAlignment="1">
      <alignment horizontal="center"/>
    </xf>
    <xf numFmtId="166" fontId="11" fillId="6" borderId="39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3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8" xfId="0" applyFont="1" applyFill="1" applyBorder="1" applyAlignment="1">
      <alignment horizontal="right"/>
    </xf>
    <xf numFmtId="2" fontId="11" fillId="7" borderId="42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28" xfId="0" applyFont="1" applyFill="1" applyBorder="1" applyAlignment="1">
      <alignment horizontal="right"/>
    </xf>
    <xf numFmtId="171" fontId="12" fillId="7" borderId="2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17" xfId="0" applyNumberFormat="1" applyFont="1" applyFill="1" applyBorder="1" applyAlignment="1">
      <alignment horizontal="center"/>
    </xf>
    <xf numFmtId="0" fontId="12" fillId="7" borderId="18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 wrapText="1"/>
    </xf>
    <xf numFmtId="0" fontId="11" fillId="2" borderId="35" xfId="0" applyFont="1" applyFill="1" applyBorder="1" applyAlignment="1">
      <alignment horizontal="center"/>
    </xf>
    <xf numFmtId="10" fontId="11" fillId="2" borderId="42" xfId="0" applyNumberFormat="1" applyFont="1" applyFill="1" applyBorder="1" applyAlignment="1">
      <alignment horizontal="center"/>
    </xf>
    <xf numFmtId="10" fontId="11" fillId="2" borderId="44" xfId="0" applyNumberFormat="1" applyFont="1" applyFill="1" applyBorder="1" applyAlignment="1">
      <alignment horizontal="center"/>
    </xf>
    <xf numFmtId="0" fontId="11" fillId="2" borderId="45" xfId="0" applyFont="1" applyFill="1" applyBorder="1" applyAlignment="1">
      <alignment horizontal="center"/>
    </xf>
    <xf numFmtId="10" fontId="11" fillId="2" borderId="47" xfId="0" applyNumberFormat="1" applyFont="1" applyFill="1" applyBorder="1" applyAlignment="1">
      <alignment horizontal="center"/>
    </xf>
    <xf numFmtId="2" fontId="11" fillId="2" borderId="36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39" xfId="0" applyNumberFormat="1" applyFont="1" applyFill="1" applyBorder="1" applyAlignment="1">
      <alignment horizontal="center"/>
    </xf>
    <xf numFmtId="0" fontId="11" fillId="2" borderId="35" xfId="0" applyFont="1" applyFill="1" applyBorder="1"/>
    <xf numFmtId="0" fontId="11" fillId="2" borderId="6" xfId="0" applyFont="1" applyFill="1" applyBorder="1"/>
    <xf numFmtId="10" fontId="13" fillId="6" borderId="39" xfId="0" applyNumberFormat="1" applyFont="1" applyFill="1" applyBorder="1" applyAlignment="1">
      <alignment horizontal="center"/>
    </xf>
    <xf numFmtId="0" fontId="11" fillId="2" borderId="52" xfId="0" applyFont="1" applyFill="1" applyBorder="1"/>
    <xf numFmtId="0" fontId="11" fillId="2" borderId="60" xfId="0" applyFont="1" applyFill="1" applyBorder="1" applyAlignment="1">
      <alignment horizontal="center"/>
    </xf>
    <xf numFmtId="0" fontId="11" fillId="2" borderId="61" xfId="0" applyFont="1" applyFill="1" applyBorder="1" applyAlignment="1">
      <alignment horizontal="right"/>
    </xf>
    <xf numFmtId="0" fontId="13" fillId="7" borderId="18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33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53" xfId="0" applyNumberFormat="1" applyFont="1" applyFill="1" applyBorder="1" applyAlignment="1">
      <alignment horizontal="center"/>
    </xf>
    <xf numFmtId="166" fontId="11" fillId="2" borderId="32" xfId="0" applyNumberFormat="1" applyFont="1" applyFill="1" applyBorder="1" applyAlignment="1">
      <alignment horizontal="center"/>
    </xf>
    <xf numFmtId="10" fontId="13" fillId="6" borderId="16" xfId="0" applyNumberFormat="1" applyFont="1" applyFill="1" applyBorder="1" applyAlignment="1">
      <alignment horizontal="center"/>
    </xf>
    <xf numFmtId="166" fontId="11" fillId="2" borderId="38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66" fontId="11" fillId="2" borderId="46" xfId="0" applyNumberFormat="1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50" xfId="0" applyFont="1" applyFill="1" applyBorder="1" applyAlignment="1">
      <alignment horizontal="center"/>
    </xf>
    <xf numFmtId="171" fontId="12" fillId="6" borderId="56" xfId="0" applyNumberFormat="1" applyFont="1" applyFill="1" applyBorder="1" applyAlignment="1">
      <alignment horizontal="center"/>
    </xf>
    <xf numFmtId="171" fontId="12" fillId="6" borderId="57" xfId="0" applyNumberFormat="1" applyFont="1" applyFill="1" applyBorder="1" applyAlignment="1">
      <alignment horizontal="center"/>
    </xf>
    <xf numFmtId="171" fontId="13" fillId="3" borderId="43" xfId="0" applyNumberFormat="1" applyFont="1" applyFill="1" applyBorder="1" applyAlignment="1" applyProtection="1">
      <alignment horizontal="center"/>
      <protection locked="0"/>
    </xf>
    <xf numFmtId="171" fontId="13" fillId="3" borderId="46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62" xfId="0" applyFont="1" applyFill="1" applyBorder="1" applyAlignment="1">
      <alignment horizontal="center"/>
    </xf>
    <xf numFmtId="0" fontId="19" fillId="2" borderId="30" xfId="0" applyFont="1" applyFill="1" applyBorder="1" applyAlignment="1">
      <alignment horizontal="center"/>
    </xf>
    <xf numFmtId="0" fontId="19" fillId="2" borderId="13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62" xfId="0" applyFont="1" applyFill="1" applyBorder="1" applyAlignment="1">
      <alignment horizontal="justify" vertical="center" wrapText="1"/>
    </xf>
    <xf numFmtId="0" fontId="19" fillId="2" borderId="30" xfId="0" applyFont="1" applyFill="1" applyBorder="1" applyAlignment="1">
      <alignment horizontal="justify" vertical="center" wrapText="1"/>
    </xf>
    <xf numFmtId="0" fontId="19" fillId="2" borderId="13" xfId="0" applyFont="1" applyFill="1" applyBorder="1" applyAlignment="1">
      <alignment horizontal="justify" vertical="center" wrapText="1"/>
    </xf>
    <xf numFmtId="0" fontId="19" fillId="2" borderId="62" xfId="0" applyFont="1" applyFill="1" applyBorder="1" applyAlignment="1">
      <alignment horizontal="left" vertical="center" wrapText="1"/>
    </xf>
    <xf numFmtId="0" fontId="19" fillId="2" borderId="30" xfId="0" applyFont="1" applyFill="1" applyBorder="1" applyAlignment="1">
      <alignment horizontal="left" vertical="center" wrapText="1"/>
    </xf>
    <xf numFmtId="0" fontId="19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53" xfId="0" applyNumberFormat="1" applyFont="1" applyFill="1" applyBorder="1" applyAlignment="1">
      <alignment horizontal="center" vertical="center"/>
    </xf>
    <xf numFmtId="0" fontId="19" fillId="2" borderId="33" xfId="0" applyFont="1" applyFill="1" applyBorder="1" applyAlignment="1">
      <alignment horizontal="left" vertical="center" wrapText="1"/>
    </xf>
    <xf numFmtId="0" fontId="19" fillId="2" borderId="34" xfId="0" applyFont="1" applyFill="1" applyBorder="1" applyAlignment="1">
      <alignment horizontal="left" vertical="center" wrapText="1"/>
    </xf>
    <xf numFmtId="0" fontId="19" fillId="2" borderId="52" xfId="0" applyFont="1" applyFill="1" applyBorder="1" applyAlignment="1">
      <alignment horizontal="left" vertical="center" wrapText="1"/>
    </xf>
    <xf numFmtId="0" fontId="19" fillId="2" borderId="5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31" xfId="0" applyNumberFormat="1" applyFont="1" applyFill="1" applyBorder="1" applyAlignment="1" applyProtection="1">
      <alignment horizontal="center" vertical="center"/>
      <protection locked="0"/>
    </xf>
    <xf numFmtId="2" fontId="13" fillId="3" borderId="53" xfId="0" applyNumberFormat="1" applyFont="1" applyFill="1" applyBorder="1" applyAlignment="1" applyProtection="1">
      <alignment horizontal="center" vertical="center"/>
      <protection locked="0"/>
    </xf>
    <xf numFmtId="2" fontId="13" fillId="3" borderId="32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52" xfId="0" applyFont="1" applyFill="1" applyBorder="1" applyAlignment="1">
      <alignment horizontal="center" vertical="center"/>
    </xf>
    <xf numFmtId="0" fontId="19" fillId="2" borderId="33" xfId="0" applyFont="1" applyFill="1" applyBorder="1" applyAlignment="1">
      <alignment horizontal="center" vertical="center" wrapText="1"/>
    </xf>
    <xf numFmtId="0" fontId="19" fillId="2" borderId="34" xfId="0" applyFont="1" applyFill="1" applyBorder="1" applyAlignment="1">
      <alignment horizontal="center" vertical="center" wrapText="1"/>
    </xf>
    <xf numFmtId="0" fontId="19" fillId="2" borderId="52" xfId="0" applyFont="1" applyFill="1" applyBorder="1" applyAlignment="1">
      <alignment horizontal="center" vertical="center" wrapText="1"/>
    </xf>
    <xf numFmtId="0" fontId="19" fillId="2" borderId="54" xfId="0" applyFont="1" applyFill="1" applyBorder="1" applyAlignment="1">
      <alignment horizontal="center" vertical="center" wrapText="1"/>
    </xf>
  </cellXfs>
  <cellStyles count="1">
    <cellStyle name="Normal" xfId="0" builtinId="0"/>
  </cellStyles>
  <dxfs count="56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25" zoomScale="60" zoomScaleNormal="100" workbookViewId="0">
      <selection activeCell="C69" sqref="C6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12" t="s">
        <v>0</v>
      </c>
      <c r="B15" s="312"/>
      <c r="C15" s="312"/>
      <c r="D15" s="312"/>
      <c r="E15" s="31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130</v>
      </c>
      <c r="C18" s="10"/>
      <c r="D18" s="10"/>
      <c r="E18" s="10"/>
    </row>
    <row r="19" spans="1:6" ht="16.5" customHeight="1" x14ac:dyDescent="0.3">
      <c r="A19" s="11" t="s">
        <v>5</v>
      </c>
      <c r="B19" s="12" t="s">
        <v>138</v>
      </c>
      <c r="C19" s="10"/>
      <c r="D19" s="10"/>
      <c r="E19" s="10"/>
    </row>
    <row r="20" spans="1:6" ht="16.5" customHeight="1" x14ac:dyDescent="0.3">
      <c r="A20" s="7" t="s">
        <v>6</v>
      </c>
      <c r="B20" s="12" t="s">
        <v>7</v>
      </c>
      <c r="C20" s="10"/>
      <c r="D20" s="10"/>
      <c r="E20" s="10"/>
    </row>
    <row r="21" spans="1:6" ht="16.5" customHeight="1" x14ac:dyDescent="0.3">
      <c r="A21" s="7" t="s">
        <v>8</v>
      </c>
      <c r="B21" s="13" t="s">
        <v>9</v>
      </c>
      <c r="C21" s="10"/>
      <c r="D21" s="10"/>
      <c r="E21" s="10"/>
    </row>
    <row r="22" spans="1:6" ht="15.75" customHeight="1" x14ac:dyDescent="0.25">
      <c r="A22" s="10"/>
      <c r="B22" s="10" t="s">
        <v>10</v>
      </c>
      <c r="C22" s="10"/>
      <c r="D22" s="10"/>
      <c r="E22" s="10"/>
    </row>
    <row r="23" spans="1:6" ht="16.5" customHeight="1" x14ac:dyDescent="0.3">
      <c r="A23" s="14" t="s">
        <v>11</v>
      </c>
      <c r="B23" s="15" t="s">
        <v>12</v>
      </c>
      <c r="C23" s="14" t="s">
        <v>13</v>
      </c>
      <c r="D23" s="14" t="s">
        <v>14</v>
      </c>
      <c r="E23" s="16" t="s">
        <v>15</v>
      </c>
    </row>
    <row r="24" spans="1:6" ht="16.5" customHeight="1" x14ac:dyDescent="0.3">
      <c r="A24" s="17">
        <v>1</v>
      </c>
      <c r="B24" s="18">
        <v>105701373</v>
      </c>
      <c r="C24" s="18">
        <v>9041</v>
      </c>
      <c r="D24" s="19">
        <v>1.1000000000000001</v>
      </c>
      <c r="E24" s="20">
        <v>5.7</v>
      </c>
    </row>
    <row r="25" spans="1:6" ht="16.5" customHeight="1" x14ac:dyDescent="0.3">
      <c r="A25" s="17">
        <v>2</v>
      </c>
      <c r="B25" s="18">
        <v>109030080</v>
      </c>
      <c r="C25" s="18">
        <v>9067</v>
      </c>
      <c r="D25" s="19">
        <v>1.1000000000000001</v>
      </c>
      <c r="E25" s="19">
        <v>5.7</v>
      </c>
    </row>
    <row r="26" spans="1:6" ht="16.5" customHeight="1" x14ac:dyDescent="0.3">
      <c r="A26" s="17">
        <v>3</v>
      </c>
      <c r="B26" s="18">
        <v>108502817</v>
      </c>
      <c r="C26" s="18">
        <v>9031</v>
      </c>
      <c r="D26" s="19">
        <v>1.1000000000000001</v>
      </c>
      <c r="E26" s="19">
        <v>5.7</v>
      </c>
    </row>
    <row r="27" spans="1:6" ht="16.5" customHeight="1" x14ac:dyDescent="0.3">
      <c r="A27" s="17">
        <v>4</v>
      </c>
      <c r="B27" s="18">
        <v>107442976</v>
      </c>
      <c r="C27" s="18">
        <v>9076</v>
      </c>
      <c r="D27" s="19">
        <v>1.1000000000000001</v>
      </c>
      <c r="E27" s="19">
        <v>5.7</v>
      </c>
    </row>
    <row r="28" spans="1:6" ht="16.5" customHeight="1" x14ac:dyDescent="0.3">
      <c r="A28" s="17">
        <v>5</v>
      </c>
      <c r="B28" s="18">
        <v>106979834</v>
      </c>
      <c r="C28" s="18">
        <v>9073</v>
      </c>
      <c r="D28" s="19">
        <v>1.1000000000000001</v>
      </c>
      <c r="E28" s="19">
        <v>5.7</v>
      </c>
    </row>
    <row r="29" spans="1:6" ht="16.5" customHeight="1" x14ac:dyDescent="0.3">
      <c r="A29" s="17">
        <v>6</v>
      </c>
      <c r="B29" s="21">
        <v>107360082</v>
      </c>
      <c r="C29" s="21">
        <v>9049</v>
      </c>
      <c r="D29" s="22">
        <v>1.1000000000000001</v>
      </c>
      <c r="E29" s="22">
        <v>5.7</v>
      </c>
    </row>
    <row r="30" spans="1:6" ht="16.5" customHeight="1" x14ac:dyDescent="0.3">
      <c r="A30" s="23" t="s">
        <v>16</v>
      </c>
      <c r="B30" s="24">
        <f>AVERAGE(B24:B29)</f>
        <v>107502860.33333333</v>
      </c>
      <c r="C30" s="25">
        <f>AVERAGE(C24:C29)</f>
        <v>9056.1666666666661</v>
      </c>
      <c r="D30" s="26">
        <f>AVERAGE(D24:D29)</f>
        <v>1.0999999999999999</v>
      </c>
      <c r="E30" s="26">
        <f>AVERAGE(E24:E29)</f>
        <v>5.7</v>
      </c>
    </row>
    <row r="31" spans="1:6" ht="16.5" customHeight="1" x14ac:dyDescent="0.3">
      <c r="A31" s="27" t="s">
        <v>17</v>
      </c>
      <c r="B31" s="28">
        <f>(STDEV(B24:B29)/B30)</f>
        <v>1.0907810618234816E-2</v>
      </c>
      <c r="C31" s="29"/>
      <c r="D31" s="29"/>
      <c r="E31" s="30"/>
      <c r="F31" s="2"/>
    </row>
    <row r="32" spans="1:6" s="2" customFormat="1" ht="16.5" customHeight="1" x14ac:dyDescent="0.3">
      <c r="A32" s="31" t="s">
        <v>18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19</v>
      </c>
      <c r="B34" s="37" t="s">
        <v>20</v>
      </c>
      <c r="C34" s="38"/>
      <c r="D34" s="38"/>
      <c r="E34" s="39"/>
    </row>
    <row r="35" spans="1:6" ht="16.5" customHeight="1" x14ac:dyDescent="0.3">
      <c r="A35" s="11"/>
      <c r="B35" s="37" t="s">
        <v>21</v>
      </c>
      <c r="C35" s="38"/>
      <c r="D35" s="38"/>
      <c r="E35" s="39"/>
      <c r="F35" s="2"/>
    </row>
    <row r="36" spans="1:6" ht="16.5" customHeight="1" x14ac:dyDescent="0.3">
      <c r="A36" s="11"/>
      <c r="B36" s="40" t="s">
        <v>22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23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5</v>
      </c>
      <c r="B40" s="12"/>
      <c r="C40" s="10"/>
      <c r="D40" s="10"/>
      <c r="E40" s="10"/>
    </row>
    <row r="41" spans="1:6" ht="16.5" customHeight="1" x14ac:dyDescent="0.3">
      <c r="A41" s="7" t="s">
        <v>6</v>
      </c>
      <c r="B41" s="12"/>
      <c r="C41" s="10"/>
      <c r="D41" s="10"/>
      <c r="E41" s="10"/>
    </row>
    <row r="42" spans="1:6" ht="16.5" customHeight="1" x14ac:dyDescent="0.3">
      <c r="A42" s="7" t="s">
        <v>8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11</v>
      </c>
      <c r="B44" s="15" t="s">
        <v>12</v>
      </c>
      <c r="C44" s="14" t="s">
        <v>13</v>
      </c>
      <c r="D44" s="14" t="s">
        <v>14</v>
      </c>
      <c r="E44" s="16" t="s">
        <v>15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16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17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18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19</v>
      </c>
      <c r="B55" s="37" t="s">
        <v>20</v>
      </c>
      <c r="C55" s="38"/>
      <c r="D55" s="38"/>
      <c r="E55" s="39"/>
    </row>
    <row r="56" spans="1:7" ht="16.5" customHeight="1" x14ac:dyDescent="0.3">
      <c r="A56" s="11"/>
      <c r="B56" s="37" t="s">
        <v>21</v>
      </c>
      <c r="C56" s="38"/>
      <c r="D56" s="38"/>
      <c r="E56" s="39"/>
      <c r="F56" s="2"/>
    </row>
    <row r="57" spans="1:7" ht="16.5" customHeight="1" x14ac:dyDescent="0.3">
      <c r="A57" s="11"/>
      <c r="B57" s="40" t="s">
        <v>22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13" t="s">
        <v>24</v>
      </c>
      <c r="C59" s="313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48"/>
      <c r="C60" s="48"/>
      <c r="E60" s="48"/>
      <c r="F60" s="2"/>
      <c r="G60" s="49"/>
    </row>
    <row r="61" spans="1:7" ht="15" customHeight="1" x14ac:dyDescent="0.3">
      <c r="A61" s="47" t="s">
        <v>28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abSelected="1" view="pageBreakPreview" zoomScale="60" zoomScaleNormal="100" workbookViewId="0">
      <selection activeCell="A22" sqref="A22"/>
    </sheetView>
  </sheetViews>
  <sheetFormatPr defaultColWidth="9.140625" defaultRowHeight="16.5" x14ac:dyDescent="0.3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316" t="s">
        <v>29</v>
      </c>
      <c r="B8" s="316"/>
      <c r="C8" s="316"/>
      <c r="D8" s="316"/>
      <c r="E8" s="316"/>
      <c r="F8" s="316"/>
      <c r="G8" s="316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317" t="s">
        <v>30</v>
      </c>
      <c r="B10" s="317"/>
      <c r="C10" s="317"/>
      <c r="D10" s="317"/>
      <c r="E10" s="317"/>
      <c r="F10" s="317"/>
      <c r="G10" s="317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314" t="s">
        <v>31</v>
      </c>
      <c r="B11" s="314"/>
      <c r="C11" s="73" t="s">
        <v>131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314" t="s">
        <v>32</v>
      </c>
      <c r="B12" s="314"/>
      <c r="C12" s="73" t="s">
        <v>138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314" t="s">
        <v>33</v>
      </c>
      <c r="B13" s="314"/>
      <c r="C13" s="73" t="s">
        <v>7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314" t="s">
        <v>34</v>
      </c>
      <c r="B14" s="314"/>
      <c r="C14" s="315" t="s">
        <v>132</v>
      </c>
      <c r="D14" s="315"/>
      <c r="E14" s="315"/>
      <c r="F14" s="315"/>
      <c r="G14" s="315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314" t="s">
        <v>35</v>
      </c>
      <c r="B15" s="314"/>
      <c r="C15" s="74" t="s">
        <v>10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314" t="s">
        <v>36</v>
      </c>
      <c r="B16" s="314"/>
      <c r="C16" s="74" t="s">
        <v>37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318" t="s">
        <v>1</v>
      </c>
      <c r="B18" s="318"/>
      <c r="C18" s="75" t="s">
        <v>38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39</v>
      </c>
      <c r="B20" s="78" t="s">
        <v>40</v>
      </c>
      <c r="C20" s="79" t="s">
        <v>41</v>
      </c>
      <c r="D20" s="77" t="s">
        <v>42</v>
      </c>
      <c r="E20" s="80" t="s">
        <v>43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82">
        <v>1141.05</v>
      </c>
      <c r="C21" s="83"/>
      <c r="D21" s="84">
        <f>B21-C21</f>
        <v>1141.05</v>
      </c>
      <c r="E21" s="85">
        <f t="shared" ref="E21:E40" si="0">(D21-$D$43)/$D$43</f>
        <v>2.0451053585194692E-2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6">
        <v>2</v>
      </c>
      <c r="B22" s="87">
        <v>1113.74</v>
      </c>
      <c r="C22" s="88"/>
      <c r="D22" s="89">
        <f>B22-C22</f>
        <v>1113.74</v>
      </c>
      <c r="E22" s="85">
        <f t="shared" si="0"/>
        <v>-3.9725196792648968E-3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6">
        <v>3</v>
      </c>
      <c r="B23" s="87">
        <v>1100.02</v>
      </c>
      <c r="C23" s="88"/>
      <c r="D23" s="89">
        <f t="shared" ref="D21:D40" si="1">B23-C23</f>
        <v>1100.02</v>
      </c>
      <c r="E23" s="85">
        <f t="shared" si="0"/>
        <v>-1.6242436383343509E-2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6">
        <v>4</v>
      </c>
      <c r="B24" s="87">
        <v>1124.8</v>
      </c>
      <c r="C24" s="88"/>
      <c r="D24" s="89">
        <f>B24-C24</f>
        <v>1124.8</v>
      </c>
      <c r="E24" s="85">
        <f t="shared" si="0"/>
        <v>5.9185356230024872E-3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6">
        <v>5</v>
      </c>
      <c r="B25" s="87">
        <v>1105.4000000000001</v>
      </c>
      <c r="C25" s="88"/>
      <c r="D25" s="89">
        <f t="shared" si="1"/>
        <v>1105.4000000000001</v>
      </c>
      <c r="E25" s="85">
        <f t="shared" si="0"/>
        <v>-1.1431055051860699E-2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6">
        <v>6</v>
      </c>
      <c r="B26" s="87">
        <v>1109.1500000000001</v>
      </c>
      <c r="C26" s="88"/>
      <c r="D26" s="89">
        <f>B26-C26</f>
        <v>1109.1500000000001</v>
      </c>
      <c r="E26" s="85">
        <f t="shared" si="0"/>
        <v>-8.0773970605855748E-3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6">
        <v>7</v>
      </c>
      <c r="B27" s="87">
        <v>1124.8499999999999</v>
      </c>
      <c r="C27" s="88"/>
      <c r="D27" s="89">
        <f t="shared" si="1"/>
        <v>1124.8499999999999</v>
      </c>
      <c r="E27" s="85">
        <f t="shared" si="0"/>
        <v>5.9632510628861149E-3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6">
        <v>8</v>
      </c>
      <c r="B28" s="87">
        <v>1122.1500000000001</v>
      </c>
      <c r="C28" s="88"/>
      <c r="D28" s="89">
        <f>B28-C28</f>
        <v>1122.1500000000001</v>
      </c>
      <c r="E28" s="85">
        <f t="shared" si="0"/>
        <v>3.548617309168188E-3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6">
        <v>9</v>
      </c>
      <c r="B29" s="87">
        <v>1126.8599999999999</v>
      </c>
      <c r="C29" s="88"/>
      <c r="D29" s="89">
        <f>B29-C29</f>
        <v>1126.8599999999999</v>
      </c>
      <c r="E29" s="85">
        <f t="shared" si="0"/>
        <v>7.7608117462095727E-3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6">
        <v>10</v>
      </c>
      <c r="B30" s="90">
        <v>1111.82</v>
      </c>
      <c r="C30" s="88"/>
      <c r="D30" s="89">
        <f t="shared" si="1"/>
        <v>1111.82</v>
      </c>
      <c r="E30" s="85">
        <f t="shared" si="0"/>
        <v>-5.6895925707978251E-3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6">
        <v>11</v>
      </c>
      <c r="B31" s="90">
        <v>1122.22</v>
      </c>
      <c r="C31" s="88"/>
      <c r="D31" s="89">
        <f>B31-C31</f>
        <v>1122.22</v>
      </c>
      <c r="E31" s="85">
        <f>(D31-$D$43)/$D$43</f>
        <v>3.6112189250052666E-3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6">
        <v>12</v>
      </c>
      <c r="B32" s="90">
        <v>1109.04</v>
      </c>
      <c r="C32" s="88"/>
      <c r="D32" s="89">
        <f t="shared" si="1"/>
        <v>1109.04</v>
      </c>
      <c r="E32" s="85">
        <f t="shared" si="0"/>
        <v>-8.1757710283297588E-3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6">
        <v>13</v>
      </c>
      <c r="B33" s="90">
        <v>1125.32</v>
      </c>
      <c r="C33" s="88"/>
      <c r="D33" s="89">
        <f>B33-C33</f>
        <v>1125.32</v>
      </c>
      <c r="E33" s="85">
        <f t="shared" si="0"/>
        <v>6.383576197792621E-3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6">
        <v>14</v>
      </c>
      <c r="B34" s="90">
        <v>1126.67</v>
      </c>
      <c r="C34" s="88"/>
      <c r="D34" s="89">
        <f>B34-C34</f>
        <v>1126.67</v>
      </c>
      <c r="E34" s="85">
        <f t="shared" si="0"/>
        <v>7.5908930746517878E-3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6">
        <v>15</v>
      </c>
      <c r="B35" s="90">
        <v>1113.0999999999999</v>
      </c>
      <c r="C35" s="88"/>
      <c r="D35" s="89">
        <f>B35-C35</f>
        <v>1113.0999999999999</v>
      </c>
      <c r="E35" s="85">
        <f t="shared" si="0"/>
        <v>-4.5448773097759403E-3</v>
      </c>
      <c r="G35" s="59"/>
      <c r="J35" s="59"/>
      <c r="K35" s="65"/>
      <c r="L35" s="60"/>
      <c r="N35" s="60"/>
    </row>
    <row r="36" spans="1:15" ht="15" x14ac:dyDescent="0.3">
      <c r="A36" s="86">
        <v>16</v>
      </c>
      <c r="B36" s="90">
        <v>1100.73</v>
      </c>
      <c r="C36" s="88"/>
      <c r="D36" s="89">
        <f t="shared" si="1"/>
        <v>1100.73</v>
      </c>
      <c r="E36" s="85">
        <f t="shared" si="0"/>
        <v>-1.5607477136995385E-2</v>
      </c>
      <c r="G36" s="66"/>
      <c r="H36" s="66"/>
    </row>
    <row r="37" spans="1:15" ht="15" x14ac:dyDescent="0.3">
      <c r="A37" s="86">
        <v>17</v>
      </c>
      <c r="B37" s="90">
        <v>1105.29</v>
      </c>
      <c r="C37" s="88"/>
      <c r="D37" s="89">
        <f>B37-C37</f>
        <v>1105.29</v>
      </c>
      <c r="E37" s="85">
        <f t="shared" si="0"/>
        <v>-1.1529429019604883E-2</v>
      </c>
    </row>
    <row r="38" spans="1:15" ht="15" x14ac:dyDescent="0.3">
      <c r="A38" s="86">
        <v>18</v>
      </c>
      <c r="B38" s="90">
        <v>1140.5999999999999</v>
      </c>
      <c r="C38" s="88"/>
      <c r="D38" s="89">
        <f t="shared" si="1"/>
        <v>1140.5999999999999</v>
      </c>
      <c r="E38" s="85">
        <f t="shared" si="0"/>
        <v>2.0048614626241634E-2</v>
      </c>
    </row>
    <row r="39" spans="1:15" ht="15" x14ac:dyDescent="0.3">
      <c r="A39" s="86">
        <v>19</v>
      </c>
      <c r="B39" s="90">
        <v>1111.53</v>
      </c>
      <c r="C39" s="88"/>
      <c r="D39" s="89">
        <f>B39-C39</f>
        <v>1111.53</v>
      </c>
      <c r="E39" s="85">
        <f t="shared" si="0"/>
        <v>-5.9489421221230691E-3</v>
      </c>
    </row>
    <row r="40" spans="1:15" ht="14.25" customHeight="1" x14ac:dyDescent="0.3">
      <c r="A40" s="91">
        <v>20</v>
      </c>
      <c r="B40" s="92">
        <v>1129.3</v>
      </c>
      <c r="C40" s="93"/>
      <c r="D40" s="94">
        <f t="shared" si="1"/>
        <v>1129.3</v>
      </c>
      <c r="E40" s="95">
        <f t="shared" si="0"/>
        <v>9.9429252125326356E-3</v>
      </c>
    </row>
    <row r="41" spans="1:15" ht="14.25" customHeight="1" x14ac:dyDescent="0.3">
      <c r="B41" s="73"/>
      <c r="D41" s="61"/>
      <c r="G41" s="54"/>
    </row>
    <row r="42" spans="1:15" x14ac:dyDescent="0.3">
      <c r="A42" s="96" t="s">
        <v>44</v>
      </c>
      <c r="B42" s="97">
        <f>SUM(B21:B40)</f>
        <v>22363.639999999996</v>
      </c>
      <c r="C42" s="98">
        <f>SUM(C21:C40)</f>
        <v>0</v>
      </c>
      <c r="D42" s="99">
        <f>SUM(D21:D40)</f>
        <v>22363.639999999996</v>
      </c>
    </row>
    <row r="43" spans="1:15" ht="15.75" customHeight="1" x14ac:dyDescent="0.3">
      <c r="A43" s="100" t="s">
        <v>45</v>
      </c>
      <c r="B43" s="101">
        <f>AVERAGE(B21:B40)</f>
        <v>1118.1819999999998</v>
      </c>
      <c r="C43" s="102" t="e">
        <f>AVERAGE(C21:C40)</f>
        <v>#DIV/0!</v>
      </c>
      <c r="D43" s="103">
        <f>AVERAGE(D21:D40)</f>
        <v>1118.1819999999998</v>
      </c>
    </row>
    <row r="44" spans="1:15" x14ac:dyDescent="0.3">
      <c r="A44" s="67"/>
      <c r="B44" s="104"/>
      <c r="C44" s="104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5" t="s">
        <v>45</v>
      </c>
      <c r="C46" s="106" t="s">
        <v>46</v>
      </c>
    </row>
    <row r="47" spans="1:15" ht="15.75" customHeight="1" x14ac:dyDescent="0.3">
      <c r="B47" s="319">
        <f>D43</f>
        <v>1118.1819999999998</v>
      </c>
      <c r="C47" s="107">
        <f>-(IF(D43&gt;300, 7.5%, 10%))</f>
        <v>-7.4999999999999997E-2</v>
      </c>
      <c r="D47" s="108">
        <f>IF(D43&lt;300, D43*0.9, D43*0.925)</f>
        <v>1034.3183499999998</v>
      </c>
    </row>
    <row r="48" spans="1:15" ht="15.75" customHeight="1" x14ac:dyDescent="0.3">
      <c r="B48" s="320"/>
      <c r="C48" s="109">
        <f>+(IF(D43&gt;300, 7.5%, 10%))</f>
        <v>7.4999999999999997E-2</v>
      </c>
      <c r="D48" s="108">
        <f>IF(D43&lt;300, D43*1.1, D43*1.075)</f>
        <v>1202.0456499999998</v>
      </c>
    </row>
    <row r="49" spans="1:7" ht="14.25" customHeight="1" x14ac:dyDescent="0.3">
      <c r="A49" s="110"/>
      <c r="D49" s="111"/>
    </row>
    <row r="50" spans="1:7" ht="15" customHeight="1" x14ac:dyDescent="0.3">
      <c r="B50" s="313" t="s">
        <v>24</v>
      </c>
      <c r="C50" s="313"/>
      <c r="D50" s="73"/>
      <c r="E50" s="112" t="s">
        <v>25</v>
      </c>
      <c r="F50" s="113"/>
      <c r="G50" s="112" t="s">
        <v>26</v>
      </c>
    </row>
    <row r="51" spans="1:7" ht="15" customHeight="1" x14ac:dyDescent="0.3">
      <c r="A51" s="114" t="s">
        <v>27</v>
      </c>
      <c r="B51" s="115"/>
      <c r="C51" s="115"/>
      <c r="D51" s="73"/>
      <c r="E51" s="115"/>
      <c r="F51" s="67"/>
      <c r="G51" s="116"/>
    </row>
    <row r="52" spans="1:7" ht="15" customHeight="1" x14ac:dyDescent="0.3">
      <c r="A52" s="114" t="s">
        <v>28</v>
      </c>
      <c r="B52" s="117"/>
      <c r="C52" s="117"/>
      <c r="D52" s="73"/>
      <c r="E52" s="117"/>
      <c r="F52" s="67"/>
      <c r="G52" s="118"/>
    </row>
  </sheetData>
  <sheetProtection formatCells="0" formatColumns="0" formatRows="0" insertColumns="0" insertRows="0" insertHyperlinks="0" deleteColumns="0" deleteRows="0" sort="0" autoFilter="0" pivotTables="0"/>
  <mergeCells count="12">
    <mergeCell ref="A15:B15"/>
    <mergeCell ref="A16:B16"/>
    <mergeCell ref="A18:B18"/>
    <mergeCell ref="B47:B48"/>
    <mergeCell ref="B50:C50"/>
    <mergeCell ref="A14:B14"/>
    <mergeCell ref="C14:G14"/>
    <mergeCell ref="A8:G8"/>
    <mergeCell ref="A10:G10"/>
    <mergeCell ref="A11:B11"/>
    <mergeCell ref="A12:B12"/>
    <mergeCell ref="A13:B13"/>
  </mergeCells>
  <conditionalFormatting sqref="E21">
    <cfRule type="cellIs" dxfId="55" priority="1" operator="notBetween">
      <formula>IF(+$D$43&lt;300, -10.5%, -7.5%)</formula>
      <formula>IF(+$D$43&lt;300, 10.5%, 7.5%)</formula>
    </cfRule>
  </conditionalFormatting>
  <conditionalFormatting sqref="E22">
    <cfRule type="cellIs" dxfId="54" priority="2" operator="notBetween">
      <formula>IF(+$D$43&lt;300, -10.5%, -7.5%)</formula>
      <formula>IF(+$D$43&lt;300, 10.5%, 7.5%)</formula>
    </cfRule>
  </conditionalFormatting>
  <conditionalFormatting sqref="E23">
    <cfRule type="cellIs" dxfId="53" priority="3" operator="notBetween">
      <formula>IF(+$D$43&lt;300, -10.5%, -7.5%)</formula>
      <formula>IF(+$D$43&lt;300, 10.5%, 7.5%)</formula>
    </cfRule>
  </conditionalFormatting>
  <conditionalFormatting sqref="E24">
    <cfRule type="cellIs" dxfId="52" priority="4" operator="notBetween">
      <formula>IF(+$D$43&lt;300, -10.5%, -7.5%)</formula>
      <formula>IF(+$D$43&lt;300, 10.5%, 7.5%)</formula>
    </cfRule>
  </conditionalFormatting>
  <conditionalFormatting sqref="E25">
    <cfRule type="cellIs" dxfId="51" priority="5" operator="notBetween">
      <formula>IF(+$D$43&lt;300, -10.5%, -7.5%)</formula>
      <formula>IF(+$D$43&lt;300, 10.5%, 7.5%)</formula>
    </cfRule>
  </conditionalFormatting>
  <conditionalFormatting sqref="E26">
    <cfRule type="cellIs" dxfId="50" priority="6" operator="notBetween">
      <formula>IF(+$D$43&lt;300, -10.5%, -7.5%)</formula>
      <formula>IF(+$D$43&lt;300, 10.5%, 7.5%)</formula>
    </cfRule>
  </conditionalFormatting>
  <conditionalFormatting sqref="E27">
    <cfRule type="cellIs" dxfId="49" priority="7" operator="notBetween">
      <formula>IF(+$D$43&lt;300, -10.5%, -7.5%)</formula>
      <formula>IF(+$D$43&lt;300, 10.5%, 7.5%)</formula>
    </cfRule>
  </conditionalFormatting>
  <conditionalFormatting sqref="E28">
    <cfRule type="cellIs" dxfId="48" priority="8" operator="notBetween">
      <formula>IF(+$D$43&lt;300, -10.5%, -7.5%)</formula>
      <formula>IF(+$D$43&lt;300, 10.5%, 7.5%)</formula>
    </cfRule>
  </conditionalFormatting>
  <conditionalFormatting sqref="E29">
    <cfRule type="cellIs" dxfId="47" priority="9" operator="notBetween">
      <formula>IF(+$D$43&lt;300, -10.5%, -7.5%)</formula>
      <formula>IF(+$D$43&lt;300, 10.5%, 7.5%)</formula>
    </cfRule>
  </conditionalFormatting>
  <conditionalFormatting sqref="E30">
    <cfRule type="cellIs" dxfId="46" priority="10" operator="notBetween">
      <formula>IF(+$D$43&lt;300, -10.5%, -7.5%)</formula>
      <formula>IF(+$D$43&lt;300, 10.5%, 7.5%)</formula>
    </cfRule>
  </conditionalFormatting>
  <conditionalFormatting sqref="E31">
    <cfRule type="cellIs" dxfId="45" priority="11" operator="notBetween">
      <formula>IF(+$D$43&lt;300, -10.5%, -7.5%)</formula>
      <formula>IF(+$D$43&lt;300, 10.5%, 7.5%)</formula>
    </cfRule>
  </conditionalFormatting>
  <conditionalFormatting sqref="E32">
    <cfRule type="cellIs" dxfId="44" priority="12" operator="notBetween">
      <formula>IF(+$D$43&lt;300, -10.5%, -7.5%)</formula>
      <formula>IF(+$D$43&lt;300, 10.5%, 7.5%)</formula>
    </cfRule>
  </conditionalFormatting>
  <conditionalFormatting sqref="E33">
    <cfRule type="cellIs" dxfId="43" priority="13" operator="notBetween">
      <formula>IF(+$D$43&lt;300, -10.5%, -7.5%)</formula>
      <formula>IF(+$D$43&lt;300, 10.5%, 7.5%)</formula>
    </cfRule>
  </conditionalFormatting>
  <conditionalFormatting sqref="E34">
    <cfRule type="cellIs" dxfId="42" priority="14" operator="notBetween">
      <formula>IF(+$D$43&lt;300, -10.5%, -7.5%)</formula>
      <formula>IF(+$D$43&lt;300, 10.5%, 7.5%)</formula>
    </cfRule>
  </conditionalFormatting>
  <conditionalFormatting sqref="E35">
    <cfRule type="cellIs" dxfId="41" priority="15" operator="notBetween">
      <formula>IF(+$D$43&lt;300, -10.5%, -7.5%)</formula>
      <formula>IF(+$D$43&lt;300, 10.5%, 7.5%)</formula>
    </cfRule>
  </conditionalFormatting>
  <conditionalFormatting sqref="E36">
    <cfRule type="cellIs" dxfId="40" priority="16" operator="notBetween">
      <formula>IF(+$D$43&lt;300, -10.5%, -7.5%)</formula>
      <formula>IF(+$D$43&lt;300, 10.5%, 7.5%)</formula>
    </cfRule>
  </conditionalFormatting>
  <conditionalFormatting sqref="E37">
    <cfRule type="cellIs" dxfId="39" priority="17" operator="notBetween">
      <formula>IF(+$D$43&lt;300, -10.5%, -7.5%)</formula>
      <formula>IF(+$D$43&lt;300, 10.5%, 7.5%)</formula>
    </cfRule>
  </conditionalFormatting>
  <conditionalFormatting sqref="E38">
    <cfRule type="cellIs" dxfId="38" priority="18" operator="notBetween">
      <formula>IF(+$D$43&lt;300, -10.5%, -7.5%)</formula>
      <formula>IF(+$D$43&lt;300, 10.5%, 7.5%)</formula>
    </cfRule>
  </conditionalFormatting>
  <conditionalFormatting sqref="E39">
    <cfRule type="cellIs" dxfId="37" priority="19" operator="notBetween">
      <formula>IF(+$D$43&lt;300, -10.5%, -7.5%)</formula>
      <formula>IF(+$D$43&lt;300, 10.5%, 7.5%)</formula>
    </cfRule>
  </conditionalFormatting>
  <conditionalFormatting sqref="E40">
    <cfRule type="cellIs" dxfId="36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58" orientation="portrait" r:id="rId1"/>
  <colBreaks count="1" manualBreakCount="1">
    <brk id="1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97" zoomScale="55" zoomScaleNormal="40" zoomScalePageLayoutView="55" workbookViewId="0">
      <selection activeCell="D127" sqref="D12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49" t="s">
        <v>47</v>
      </c>
      <c r="B1" s="349"/>
      <c r="C1" s="349"/>
      <c r="D1" s="349"/>
      <c r="E1" s="349"/>
      <c r="F1" s="349"/>
      <c r="G1" s="349"/>
      <c r="H1" s="349"/>
      <c r="I1" s="349"/>
    </row>
    <row r="2" spans="1:9" ht="18.75" customHeight="1" x14ac:dyDescent="0.25">
      <c r="A2" s="349"/>
      <c r="B2" s="349"/>
      <c r="C2" s="349"/>
      <c r="D2" s="349"/>
      <c r="E2" s="349"/>
      <c r="F2" s="349"/>
      <c r="G2" s="349"/>
      <c r="H2" s="349"/>
      <c r="I2" s="349"/>
    </row>
    <row r="3" spans="1:9" ht="18.75" customHeight="1" x14ac:dyDescent="0.25">
      <c r="A3" s="349"/>
      <c r="B3" s="349"/>
      <c r="C3" s="349"/>
      <c r="D3" s="349"/>
      <c r="E3" s="349"/>
      <c r="F3" s="349"/>
      <c r="G3" s="349"/>
      <c r="H3" s="349"/>
      <c r="I3" s="349"/>
    </row>
    <row r="4" spans="1:9" ht="18.75" customHeight="1" x14ac:dyDescent="0.25">
      <c r="A4" s="349"/>
      <c r="B4" s="349"/>
      <c r="C4" s="349"/>
      <c r="D4" s="349"/>
      <c r="E4" s="349"/>
      <c r="F4" s="349"/>
      <c r="G4" s="349"/>
      <c r="H4" s="349"/>
      <c r="I4" s="349"/>
    </row>
    <row r="5" spans="1:9" ht="18.75" customHeight="1" x14ac:dyDescent="0.25">
      <c r="A5" s="349"/>
      <c r="B5" s="349"/>
      <c r="C5" s="349"/>
      <c r="D5" s="349"/>
      <c r="E5" s="349"/>
      <c r="F5" s="349"/>
      <c r="G5" s="349"/>
      <c r="H5" s="349"/>
      <c r="I5" s="349"/>
    </row>
    <row r="6" spans="1:9" ht="18.75" customHeight="1" x14ac:dyDescent="0.25">
      <c r="A6" s="349"/>
      <c r="B6" s="349"/>
      <c r="C6" s="349"/>
      <c r="D6" s="349"/>
      <c r="E6" s="349"/>
      <c r="F6" s="349"/>
      <c r="G6" s="349"/>
      <c r="H6" s="349"/>
      <c r="I6" s="349"/>
    </row>
    <row r="7" spans="1:9" ht="18.75" customHeight="1" x14ac:dyDescent="0.25">
      <c r="A7" s="349"/>
      <c r="B7" s="349"/>
      <c r="C7" s="349"/>
      <c r="D7" s="349"/>
      <c r="E7" s="349"/>
      <c r="F7" s="349"/>
      <c r="G7" s="349"/>
      <c r="H7" s="349"/>
      <c r="I7" s="349"/>
    </row>
    <row r="8" spans="1:9" x14ac:dyDescent="0.25">
      <c r="A8" s="350" t="s">
        <v>48</v>
      </c>
      <c r="B8" s="350"/>
      <c r="C8" s="350"/>
      <c r="D8" s="350"/>
      <c r="E8" s="350"/>
      <c r="F8" s="350"/>
      <c r="G8" s="350"/>
      <c r="H8" s="350"/>
      <c r="I8" s="350"/>
    </row>
    <row r="9" spans="1:9" x14ac:dyDescent="0.25">
      <c r="A9" s="350"/>
      <c r="B9" s="350"/>
      <c r="C9" s="350"/>
      <c r="D9" s="350"/>
      <c r="E9" s="350"/>
      <c r="F9" s="350"/>
      <c r="G9" s="350"/>
      <c r="H9" s="350"/>
      <c r="I9" s="350"/>
    </row>
    <row r="10" spans="1:9" x14ac:dyDescent="0.25">
      <c r="A10" s="350"/>
      <c r="B10" s="350"/>
      <c r="C10" s="350"/>
      <c r="D10" s="350"/>
      <c r="E10" s="350"/>
      <c r="F10" s="350"/>
      <c r="G10" s="350"/>
      <c r="H10" s="350"/>
      <c r="I10" s="350"/>
    </row>
    <row r="11" spans="1:9" x14ac:dyDescent="0.25">
      <c r="A11" s="350"/>
      <c r="B11" s="350"/>
      <c r="C11" s="350"/>
      <c r="D11" s="350"/>
      <c r="E11" s="350"/>
      <c r="F11" s="350"/>
      <c r="G11" s="350"/>
      <c r="H11" s="350"/>
      <c r="I11" s="350"/>
    </row>
    <row r="12" spans="1:9" x14ac:dyDescent="0.25">
      <c r="A12" s="350"/>
      <c r="B12" s="350"/>
      <c r="C12" s="350"/>
      <c r="D12" s="350"/>
      <c r="E12" s="350"/>
      <c r="F12" s="350"/>
      <c r="G12" s="350"/>
      <c r="H12" s="350"/>
      <c r="I12" s="350"/>
    </row>
    <row r="13" spans="1:9" x14ac:dyDescent="0.25">
      <c r="A13" s="350"/>
      <c r="B13" s="350"/>
      <c r="C13" s="350"/>
      <c r="D13" s="350"/>
      <c r="E13" s="350"/>
      <c r="F13" s="350"/>
      <c r="G13" s="350"/>
      <c r="H13" s="350"/>
      <c r="I13" s="350"/>
    </row>
    <row r="14" spans="1:9" x14ac:dyDescent="0.25">
      <c r="A14" s="350"/>
      <c r="B14" s="350"/>
      <c r="C14" s="350"/>
      <c r="D14" s="350"/>
      <c r="E14" s="350"/>
      <c r="F14" s="350"/>
      <c r="G14" s="350"/>
      <c r="H14" s="350"/>
      <c r="I14" s="350"/>
    </row>
    <row r="15" spans="1:9" ht="19.5" customHeight="1" x14ac:dyDescent="0.3">
      <c r="A15" s="119"/>
    </row>
    <row r="16" spans="1:9" ht="19.5" customHeight="1" x14ac:dyDescent="0.3">
      <c r="A16" s="322" t="s">
        <v>29</v>
      </c>
      <c r="B16" s="323"/>
      <c r="C16" s="323"/>
      <c r="D16" s="323"/>
      <c r="E16" s="323"/>
      <c r="F16" s="323"/>
      <c r="G16" s="323"/>
      <c r="H16" s="324"/>
    </row>
    <row r="17" spans="1:14" ht="20.25" customHeight="1" x14ac:dyDescent="0.25">
      <c r="A17" s="325" t="s">
        <v>49</v>
      </c>
      <c r="B17" s="325"/>
      <c r="C17" s="325"/>
      <c r="D17" s="325"/>
      <c r="E17" s="325"/>
      <c r="F17" s="325"/>
      <c r="G17" s="325"/>
      <c r="H17" s="325"/>
    </row>
    <row r="18" spans="1:14" ht="26.25" customHeight="1" x14ac:dyDescent="0.4">
      <c r="A18" s="121" t="s">
        <v>31</v>
      </c>
      <c r="B18" s="321" t="s">
        <v>135</v>
      </c>
      <c r="C18" s="321"/>
      <c r="D18" s="287"/>
      <c r="E18" s="122"/>
      <c r="F18" s="123"/>
      <c r="G18" s="123"/>
      <c r="H18" s="123"/>
    </row>
    <row r="19" spans="1:14" ht="26.25" customHeight="1" x14ac:dyDescent="0.4">
      <c r="A19" s="121" t="s">
        <v>32</v>
      </c>
      <c r="B19" s="124" t="s">
        <v>138</v>
      </c>
      <c r="C19" s="289">
        <v>1</v>
      </c>
      <c r="D19" s="123"/>
      <c r="E19" s="123"/>
      <c r="F19" s="123"/>
      <c r="G19" s="123"/>
      <c r="H19" s="123"/>
    </row>
    <row r="20" spans="1:14" ht="26.25" customHeight="1" x14ac:dyDescent="0.4">
      <c r="A20" s="121" t="s">
        <v>33</v>
      </c>
      <c r="B20" s="326" t="s">
        <v>133</v>
      </c>
      <c r="C20" s="326"/>
      <c r="D20" s="123"/>
      <c r="E20" s="123"/>
      <c r="F20" s="123"/>
      <c r="G20" s="123"/>
      <c r="H20" s="123"/>
    </row>
    <row r="21" spans="1:14" ht="26.25" customHeight="1" x14ac:dyDescent="0.4">
      <c r="A21" s="121" t="s">
        <v>34</v>
      </c>
      <c r="B21" s="326" t="s">
        <v>134</v>
      </c>
      <c r="C21" s="326"/>
      <c r="D21" s="326"/>
      <c r="E21" s="326"/>
      <c r="F21" s="326"/>
      <c r="G21" s="326"/>
      <c r="H21" s="326"/>
      <c r="I21" s="125"/>
    </row>
    <row r="22" spans="1:14" ht="26.25" customHeight="1" x14ac:dyDescent="0.4">
      <c r="A22" s="121" t="s">
        <v>35</v>
      </c>
      <c r="B22" s="126" t="s">
        <v>10</v>
      </c>
      <c r="C22" s="123"/>
      <c r="D22" s="123"/>
      <c r="E22" s="123"/>
      <c r="F22" s="123"/>
      <c r="G22" s="123"/>
      <c r="H22" s="123"/>
    </row>
    <row r="23" spans="1:14" ht="26.25" customHeight="1" x14ac:dyDescent="0.4">
      <c r="A23" s="121" t="s">
        <v>36</v>
      </c>
      <c r="B23" s="126" t="s">
        <v>126</v>
      </c>
      <c r="C23" s="123"/>
      <c r="D23" s="123"/>
      <c r="E23" s="123"/>
      <c r="F23" s="123"/>
      <c r="G23" s="123"/>
      <c r="H23" s="123"/>
    </row>
    <row r="24" spans="1:14" ht="18.75" x14ac:dyDescent="0.3">
      <c r="A24" s="121"/>
      <c r="B24" s="127"/>
    </row>
    <row r="25" spans="1:14" ht="18.75" x14ac:dyDescent="0.3">
      <c r="A25" s="128" t="s">
        <v>1</v>
      </c>
      <c r="B25" s="127"/>
    </row>
    <row r="26" spans="1:14" ht="26.25" customHeight="1" x14ac:dyDescent="0.4">
      <c r="A26" s="129" t="s">
        <v>4</v>
      </c>
      <c r="B26" s="321" t="s">
        <v>127</v>
      </c>
      <c r="C26" s="321"/>
    </row>
    <row r="27" spans="1:14" ht="26.25" customHeight="1" x14ac:dyDescent="0.4">
      <c r="A27" s="130" t="s">
        <v>50</v>
      </c>
      <c r="B27" s="327" t="s">
        <v>128</v>
      </c>
      <c r="C27" s="327"/>
    </row>
    <row r="28" spans="1:14" ht="27" customHeight="1" x14ac:dyDescent="0.4">
      <c r="A28" s="130" t="s">
        <v>5</v>
      </c>
      <c r="B28" s="131">
        <v>98.3</v>
      </c>
    </row>
    <row r="29" spans="1:14" s="14" customFormat="1" ht="27" customHeight="1" x14ac:dyDescent="0.4">
      <c r="A29" s="130" t="s">
        <v>51</v>
      </c>
      <c r="B29" s="132"/>
      <c r="C29" s="328" t="s">
        <v>52</v>
      </c>
      <c r="D29" s="329"/>
      <c r="E29" s="329"/>
      <c r="F29" s="329"/>
      <c r="G29" s="330"/>
      <c r="I29" s="133"/>
      <c r="J29" s="133"/>
      <c r="K29" s="133"/>
      <c r="L29" s="133"/>
    </row>
    <row r="30" spans="1:14" s="14" customFormat="1" ht="19.5" customHeight="1" x14ac:dyDescent="0.3">
      <c r="A30" s="130" t="s">
        <v>53</v>
      </c>
      <c r="B30" s="134">
        <f>B28-B29</f>
        <v>98.3</v>
      </c>
      <c r="C30" s="135"/>
      <c r="D30" s="135"/>
      <c r="E30" s="135"/>
      <c r="F30" s="135"/>
      <c r="G30" s="136"/>
      <c r="I30" s="133"/>
      <c r="J30" s="133"/>
      <c r="K30" s="133"/>
      <c r="L30" s="133"/>
    </row>
    <row r="31" spans="1:14" s="14" customFormat="1" ht="27" customHeight="1" x14ac:dyDescent="0.4">
      <c r="A31" s="130" t="s">
        <v>54</v>
      </c>
      <c r="B31" s="137">
        <v>1</v>
      </c>
      <c r="C31" s="331" t="s">
        <v>55</v>
      </c>
      <c r="D31" s="332"/>
      <c r="E31" s="332"/>
      <c r="F31" s="332"/>
      <c r="G31" s="332"/>
      <c r="H31" s="333"/>
      <c r="I31" s="133"/>
      <c r="J31" s="133"/>
      <c r="K31" s="133"/>
      <c r="L31" s="133"/>
    </row>
    <row r="32" spans="1:14" s="14" customFormat="1" ht="27" customHeight="1" x14ac:dyDescent="0.4">
      <c r="A32" s="130" t="s">
        <v>56</v>
      </c>
      <c r="B32" s="137">
        <v>1</v>
      </c>
      <c r="C32" s="331" t="s">
        <v>57</v>
      </c>
      <c r="D32" s="332"/>
      <c r="E32" s="332"/>
      <c r="F32" s="332"/>
      <c r="G32" s="332"/>
      <c r="H32" s="333"/>
      <c r="I32" s="133"/>
      <c r="J32" s="133"/>
      <c r="K32" s="133"/>
      <c r="L32" s="138"/>
      <c r="M32" s="138"/>
      <c r="N32" s="139"/>
    </row>
    <row r="33" spans="1:14" s="14" customFormat="1" ht="17.25" customHeight="1" x14ac:dyDescent="0.3">
      <c r="A33" s="130"/>
      <c r="B33" s="140"/>
      <c r="C33" s="141"/>
      <c r="D33" s="141"/>
      <c r="E33" s="141"/>
      <c r="F33" s="141"/>
      <c r="G33" s="141"/>
      <c r="H33" s="141"/>
      <c r="I33" s="133"/>
      <c r="J33" s="133"/>
      <c r="K33" s="133"/>
      <c r="L33" s="138"/>
      <c r="M33" s="138"/>
      <c r="N33" s="139"/>
    </row>
    <row r="34" spans="1:14" s="14" customFormat="1" ht="18.75" x14ac:dyDescent="0.3">
      <c r="A34" s="130" t="s">
        <v>58</v>
      </c>
      <c r="B34" s="142">
        <f>B31/B32</f>
        <v>1</v>
      </c>
      <c r="C34" s="120" t="s">
        <v>59</v>
      </c>
      <c r="D34" s="120"/>
      <c r="E34" s="120"/>
      <c r="F34" s="120"/>
      <c r="G34" s="120"/>
      <c r="I34" s="133"/>
      <c r="J34" s="133"/>
      <c r="K34" s="133"/>
      <c r="L34" s="138"/>
      <c r="M34" s="138"/>
      <c r="N34" s="139"/>
    </row>
    <row r="35" spans="1:14" s="14" customFormat="1" ht="19.5" customHeight="1" x14ac:dyDescent="0.3">
      <c r="A35" s="130"/>
      <c r="B35" s="134"/>
      <c r="G35" s="120"/>
      <c r="I35" s="133"/>
      <c r="J35" s="133"/>
      <c r="K35" s="133"/>
      <c r="L35" s="138"/>
      <c r="M35" s="138"/>
      <c r="N35" s="139"/>
    </row>
    <row r="36" spans="1:14" s="14" customFormat="1" ht="27" customHeight="1" x14ac:dyDescent="0.4">
      <c r="A36" s="143" t="s">
        <v>60</v>
      </c>
      <c r="B36" s="144">
        <v>50</v>
      </c>
      <c r="C36" s="120"/>
      <c r="D36" s="334" t="s">
        <v>61</v>
      </c>
      <c r="E36" s="335"/>
      <c r="F36" s="334" t="s">
        <v>62</v>
      </c>
      <c r="G36" s="336"/>
      <c r="J36" s="133"/>
      <c r="K36" s="133"/>
      <c r="L36" s="138"/>
      <c r="M36" s="138"/>
      <c r="N36" s="139"/>
    </row>
    <row r="37" spans="1:14" s="14" customFormat="1" ht="27" customHeight="1" x14ac:dyDescent="0.4">
      <c r="A37" s="145" t="s">
        <v>63</v>
      </c>
      <c r="B37" s="146">
        <v>1</v>
      </c>
      <c r="C37" s="147" t="s">
        <v>64</v>
      </c>
      <c r="D37" s="148" t="s">
        <v>65</v>
      </c>
      <c r="E37" s="149" t="s">
        <v>66</v>
      </c>
      <c r="F37" s="148" t="s">
        <v>65</v>
      </c>
      <c r="G37" s="150" t="s">
        <v>66</v>
      </c>
      <c r="I37" s="151" t="s">
        <v>67</v>
      </c>
      <c r="J37" s="133"/>
      <c r="K37" s="133"/>
      <c r="L37" s="138"/>
      <c r="M37" s="138"/>
      <c r="N37" s="139"/>
    </row>
    <row r="38" spans="1:14" s="14" customFormat="1" ht="26.25" customHeight="1" x14ac:dyDescent="0.4">
      <c r="A38" s="145" t="s">
        <v>68</v>
      </c>
      <c r="B38" s="146">
        <v>1</v>
      </c>
      <c r="C38" s="152">
        <v>1</v>
      </c>
      <c r="D38" s="153">
        <v>108030479</v>
      </c>
      <c r="E38" s="154">
        <f>IF(ISBLANK(D38),"-",$D$48/$D$45*D38)</f>
        <v>111867628.13927984</v>
      </c>
      <c r="F38" s="153">
        <v>110502200</v>
      </c>
      <c r="G38" s="155">
        <f>IF(ISBLANK(F38),"-",$D$48/$F$45*F38)</f>
        <v>109139053.22521704</v>
      </c>
      <c r="I38" s="156"/>
      <c r="J38" s="133"/>
      <c r="K38" s="133"/>
      <c r="L38" s="138"/>
      <c r="M38" s="138"/>
      <c r="N38" s="139"/>
    </row>
    <row r="39" spans="1:14" s="14" customFormat="1" ht="26.25" customHeight="1" x14ac:dyDescent="0.4">
      <c r="A39" s="145" t="s">
        <v>69</v>
      </c>
      <c r="B39" s="146">
        <v>1</v>
      </c>
      <c r="C39" s="157">
        <v>2</v>
      </c>
      <c r="D39" s="158">
        <v>104345261</v>
      </c>
      <c r="E39" s="159">
        <f>IF(ISBLANK(D39),"-",$D$48/$D$45*D39)</f>
        <v>108051514.38460343</v>
      </c>
      <c r="F39" s="158">
        <v>110224594</v>
      </c>
      <c r="G39" s="160">
        <f>IF(ISBLANK(F39),"-",$D$48/$F$45*F39)</f>
        <v>108864871.75181977</v>
      </c>
      <c r="I39" s="338">
        <f>ABS((F43/D43*D42)-F42)/D42</f>
        <v>2.3929647942026091E-3</v>
      </c>
      <c r="J39" s="133"/>
      <c r="K39" s="133"/>
      <c r="L39" s="138"/>
      <c r="M39" s="138"/>
      <c r="N39" s="139"/>
    </row>
    <row r="40" spans="1:14" ht="26.25" customHeight="1" x14ac:dyDescent="0.4">
      <c r="A40" s="145" t="s">
        <v>70</v>
      </c>
      <c r="B40" s="146">
        <v>1</v>
      </c>
      <c r="C40" s="157">
        <v>3</v>
      </c>
      <c r="D40" s="158">
        <v>104141022</v>
      </c>
      <c r="E40" s="159">
        <f>IF(ISBLANK(D40),"-",$D$48/$D$45*D40)</f>
        <v>107840020.99204393</v>
      </c>
      <c r="F40" s="158">
        <v>110368668</v>
      </c>
      <c r="G40" s="160">
        <f>IF(ISBLANK(F40),"-",$D$48/$F$45*F40)</f>
        <v>109007168.4658614</v>
      </c>
      <c r="I40" s="338"/>
      <c r="L40" s="138"/>
      <c r="M40" s="138"/>
      <c r="N40" s="161"/>
    </row>
    <row r="41" spans="1:14" ht="27" customHeight="1" x14ac:dyDescent="0.4">
      <c r="A41" s="145" t="s">
        <v>71</v>
      </c>
      <c r="B41" s="146">
        <v>1</v>
      </c>
      <c r="C41" s="162">
        <v>4</v>
      </c>
      <c r="D41" s="163"/>
      <c r="E41" s="164" t="str">
        <f>IF(ISBLANK(D41),"-",$D$48/$D$45*D41)</f>
        <v>-</v>
      </c>
      <c r="F41" s="163"/>
      <c r="G41" s="165" t="str">
        <f>IF(ISBLANK(F41),"-",$D$48/$F$45*F41)</f>
        <v>-</v>
      </c>
      <c r="I41" s="166"/>
      <c r="L41" s="138"/>
      <c r="M41" s="138"/>
      <c r="N41" s="161"/>
    </row>
    <row r="42" spans="1:14" ht="27" customHeight="1" x14ac:dyDescent="0.4">
      <c r="A42" s="145" t="s">
        <v>72</v>
      </c>
      <c r="B42" s="146">
        <v>1</v>
      </c>
      <c r="C42" s="167" t="s">
        <v>73</v>
      </c>
      <c r="D42" s="168">
        <f>AVERAGE(D38:D41)</f>
        <v>105505587.33333333</v>
      </c>
      <c r="E42" s="169">
        <f>AVERAGE(E38:E41)</f>
        <v>109253054.50530906</v>
      </c>
      <c r="F42" s="168">
        <f>AVERAGE(F38:F41)</f>
        <v>110365154</v>
      </c>
      <c r="G42" s="170">
        <f>AVERAGE(G38:G41)</f>
        <v>109003697.8142994</v>
      </c>
      <c r="H42" s="171"/>
    </row>
    <row r="43" spans="1:14" ht="26.25" customHeight="1" x14ac:dyDescent="0.4">
      <c r="A43" s="145" t="s">
        <v>74</v>
      </c>
      <c r="B43" s="146">
        <v>1</v>
      </c>
      <c r="C43" s="172" t="s">
        <v>75</v>
      </c>
      <c r="D43" s="173">
        <v>24.56</v>
      </c>
      <c r="E43" s="161"/>
      <c r="F43" s="173">
        <v>25.75</v>
      </c>
      <c r="H43" s="171"/>
    </row>
    <row r="44" spans="1:14" ht="26.25" customHeight="1" x14ac:dyDescent="0.4">
      <c r="A44" s="145" t="s">
        <v>76</v>
      </c>
      <c r="B44" s="146">
        <v>1</v>
      </c>
      <c r="C44" s="174" t="s">
        <v>77</v>
      </c>
      <c r="D44" s="175">
        <f>D43*$B$34</f>
        <v>24.56</v>
      </c>
      <c r="E44" s="176"/>
      <c r="F44" s="175">
        <f>F43*$B$34</f>
        <v>25.75</v>
      </c>
      <c r="H44" s="171"/>
    </row>
    <row r="45" spans="1:14" ht="19.5" customHeight="1" x14ac:dyDescent="0.3">
      <c r="A45" s="145" t="s">
        <v>78</v>
      </c>
      <c r="B45" s="177">
        <f>(B44/B43)*(B42/B41)*(B40/B39)*(B38/B37)*B36</f>
        <v>50</v>
      </c>
      <c r="C45" s="174" t="s">
        <v>79</v>
      </c>
      <c r="D45" s="178">
        <f>D44*$B$30/100</f>
        <v>24.142479999999995</v>
      </c>
      <c r="E45" s="179"/>
      <c r="F45" s="178">
        <f>F44*$B$30/100</f>
        <v>25.312249999999999</v>
      </c>
      <c r="H45" s="171"/>
    </row>
    <row r="46" spans="1:14" ht="19.5" customHeight="1" x14ac:dyDescent="0.3">
      <c r="A46" s="339" t="s">
        <v>80</v>
      </c>
      <c r="B46" s="340"/>
      <c r="C46" s="174" t="s">
        <v>81</v>
      </c>
      <c r="D46" s="180">
        <f>D45/$B$45</f>
        <v>0.48284959999999993</v>
      </c>
      <c r="E46" s="181"/>
      <c r="F46" s="182">
        <f>F45/$B$45</f>
        <v>0.50624499999999995</v>
      </c>
      <c r="H46" s="171"/>
    </row>
    <row r="47" spans="1:14" ht="27" customHeight="1" x14ac:dyDescent="0.4">
      <c r="A47" s="341"/>
      <c r="B47" s="342"/>
      <c r="C47" s="183" t="s">
        <v>82</v>
      </c>
      <c r="D47" s="184">
        <v>0.5</v>
      </c>
      <c r="E47" s="185"/>
      <c r="F47" s="181"/>
      <c r="H47" s="171"/>
    </row>
    <row r="48" spans="1:14" ht="18.75" x14ac:dyDescent="0.3">
      <c r="C48" s="186" t="s">
        <v>83</v>
      </c>
      <c r="D48" s="178">
        <f>D47*$B$45</f>
        <v>25</v>
      </c>
      <c r="F48" s="187"/>
      <c r="H48" s="171"/>
    </row>
    <row r="49" spans="1:12" ht="19.5" customHeight="1" x14ac:dyDescent="0.3">
      <c r="C49" s="188" t="s">
        <v>84</v>
      </c>
      <c r="D49" s="189">
        <f>D48/B34</f>
        <v>25</v>
      </c>
      <c r="F49" s="187"/>
      <c r="H49" s="171"/>
    </row>
    <row r="50" spans="1:12" ht="18.75" x14ac:dyDescent="0.3">
      <c r="C50" s="143" t="s">
        <v>85</v>
      </c>
      <c r="D50" s="190">
        <f>AVERAGE(E38:E41,G38:G41)</f>
        <v>109128376.15980424</v>
      </c>
      <c r="F50" s="191"/>
      <c r="H50" s="171"/>
    </row>
    <row r="51" spans="1:12" ht="18.75" x14ac:dyDescent="0.3">
      <c r="C51" s="145" t="s">
        <v>86</v>
      </c>
      <c r="D51" s="192">
        <f>STDEV(E38:E41,G38:G41)/D50</f>
        <v>1.322040971819167E-2</v>
      </c>
      <c r="F51" s="191"/>
      <c r="H51" s="171"/>
    </row>
    <row r="52" spans="1:12" ht="19.5" customHeight="1" x14ac:dyDescent="0.3">
      <c r="C52" s="193" t="s">
        <v>18</v>
      </c>
      <c r="D52" s="194">
        <f>COUNT(E38:E41,G38:G41)</f>
        <v>6</v>
      </c>
      <c r="F52" s="191"/>
    </row>
    <row r="54" spans="1:12" ht="18.75" x14ac:dyDescent="0.3">
      <c r="A54" s="195" t="s">
        <v>1</v>
      </c>
      <c r="B54" s="196" t="s">
        <v>87</v>
      </c>
    </row>
    <row r="55" spans="1:12" ht="18.75" x14ac:dyDescent="0.3">
      <c r="A55" s="120" t="s">
        <v>88</v>
      </c>
      <c r="B55" s="197" t="str">
        <f>B21</f>
        <v>Each film coated tablet contains Amoxicillin 500mg Clavulanic acid 125mg</v>
      </c>
    </row>
    <row r="56" spans="1:12" ht="26.25" customHeight="1" x14ac:dyDescent="0.4">
      <c r="A56" s="198" t="s">
        <v>89</v>
      </c>
      <c r="B56" s="199">
        <v>500</v>
      </c>
      <c r="C56" s="120" t="str">
        <f>B20</f>
        <v>Amoxicillin and Clavulanic Acid</v>
      </c>
      <c r="H56" s="200"/>
    </row>
    <row r="57" spans="1:12" ht="18.75" x14ac:dyDescent="0.3">
      <c r="A57" s="197" t="s">
        <v>90</v>
      </c>
      <c r="B57" s="288">
        <v>1118.182</v>
      </c>
      <c r="H57" s="200"/>
    </row>
    <row r="58" spans="1:12" ht="19.5" customHeight="1" x14ac:dyDescent="0.3">
      <c r="H58" s="200"/>
    </row>
    <row r="59" spans="1:12" s="14" customFormat="1" ht="27" customHeight="1" x14ac:dyDescent="0.4">
      <c r="A59" s="143" t="s">
        <v>91</v>
      </c>
      <c r="B59" s="144">
        <v>100</v>
      </c>
      <c r="C59" s="120"/>
      <c r="D59" s="201" t="s">
        <v>92</v>
      </c>
      <c r="E59" s="202" t="s">
        <v>64</v>
      </c>
      <c r="F59" s="202" t="s">
        <v>65</v>
      </c>
      <c r="G59" s="202" t="s">
        <v>93</v>
      </c>
      <c r="H59" s="147" t="s">
        <v>94</v>
      </c>
      <c r="L59" s="133"/>
    </row>
    <row r="60" spans="1:12" s="14" customFormat="1" ht="26.25" customHeight="1" x14ac:dyDescent="0.4">
      <c r="A60" s="145" t="s">
        <v>95</v>
      </c>
      <c r="B60" s="146">
        <v>1</v>
      </c>
      <c r="C60" s="343" t="s">
        <v>96</v>
      </c>
      <c r="D60" s="346">
        <v>119.8</v>
      </c>
      <c r="E60" s="203">
        <v>1</v>
      </c>
      <c r="F60" s="204">
        <v>129901056</v>
      </c>
      <c r="G60" s="290">
        <f>IF(ISBLANK(F60),"-",(F60/$D$50*$D$47*$B$68)*($B$57/$D$60))</f>
        <v>555.52124420394352</v>
      </c>
      <c r="H60" s="205">
        <f>IF(ISBLANK(F60),"-",G60/$B$56)</f>
        <v>1.1110424884078871</v>
      </c>
      <c r="L60" s="133"/>
    </row>
    <row r="61" spans="1:12" s="14" customFormat="1" ht="26.25" customHeight="1" x14ac:dyDescent="0.4">
      <c r="A61" s="145" t="s">
        <v>97</v>
      </c>
      <c r="B61" s="146">
        <v>1</v>
      </c>
      <c r="C61" s="344"/>
      <c r="D61" s="347"/>
      <c r="E61" s="206">
        <v>2</v>
      </c>
      <c r="F61" s="158">
        <v>129584241</v>
      </c>
      <c r="G61" s="291">
        <f>IF(ISBLANK(F61),"-",(F61/$D$50*$D$47*$B$68)*($B$57/$D$60))</f>
        <v>554.16638637289964</v>
      </c>
      <c r="H61" s="207">
        <f>IF(ISBLANK(F61),"-",G61/$B$56)</f>
        <v>1.1083327727457992</v>
      </c>
      <c r="L61" s="133"/>
    </row>
    <row r="62" spans="1:12" s="14" customFormat="1" ht="26.25" customHeight="1" x14ac:dyDescent="0.4">
      <c r="A62" s="145" t="s">
        <v>98</v>
      </c>
      <c r="B62" s="146">
        <v>1</v>
      </c>
      <c r="C62" s="344"/>
      <c r="D62" s="347"/>
      <c r="E62" s="206">
        <v>3</v>
      </c>
      <c r="F62" s="208">
        <v>130210496</v>
      </c>
      <c r="G62" s="291">
        <f>IF(ISBLANK(F62),"-",(F62/$D$50*$D$47*$B$68)*($B$57/$D$60))</f>
        <v>556.8445628827883</v>
      </c>
      <c r="H62" s="207">
        <f t="shared" ref="H62:H71" si="0">IF(ISBLANK(F62),"-",G62/$B$56)</f>
        <v>1.1136891257655765</v>
      </c>
      <c r="L62" s="133"/>
    </row>
    <row r="63" spans="1:12" ht="27" customHeight="1" x14ac:dyDescent="0.4">
      <c r="A63" s="145" t="s">
        <v>99</v>
      </c>
      <c r="B63" s="146">
        <v>1</v>
      </c>
      <c r="C63" s="345"/>
      <c r="D63" s="348"/>
      <c r="E63" s="209">
        <v>4</v>
      </c>
      <c r="F63" s="210"/>
      <c r="G63" s="291" t="str">
        <f>IF(ISBLANK(F63),"-",(F63/$D$50*$D$47*$B$68)*($B$57/$D$60))</f>
        <v>-</v>
      </c>
      <c r="H63" s="207" t="str">
        <f t="shared" si="0"/>
        <v>-</v>
      </c>
    </row>
    <row r="64" spans="1:12" ht="26.25" customHeight="1" x14ac:dyDescent="0.4">
      <c r="A64" s="145" t="s">
        <v>100</v>
      </c>
      <c r="B64" s="146">
        <v>1</v>
      </c>
      <c r="C64" s="343" t="s">
        <v>101</v>
      </c>
      <c r="D64" s="346">
        <v>117.12</v>
      </c>
      <c r="E64" s="203">
        <v>1</v>
      </c>
      <c r="F64" s="204">
        <v>128964253</v>
      </c>
      <c r="G64" s="292">
        <f>IF(ISBLANK(F64),"-",(F64/$D$50*$D$47*$B$68)*($B$57/$D$64))</f>
        <v>564.13506042426491</v>
      </c>
      <c r="H64" s="211">
        <f>IF(ISBLANK(F64),"-",G64/$B$56)</f>
        <v>1.1282701208485297</v>
      </c>
    </row>
    <row r="65" spans="1:8" ht="26.25" customHeight="1" x14ac:dyDescent="0.4">
      <c r="A65" s="145" t="s">
        <v>102</v>
      </c>
      <c r="B65" s="146">
        <v>1</v>
      </c>
      <c r="C65" s="344"/>
      <c r="D65" s="347"/>
      <c r="E65" s="206">
        <v>2</v>
      </c>
      <c r="F65" s="158">
        <v>128696148</v>
      </c>
      <c r="G65" s="293">
        <f>IF(ISBLANK(F65),"-",(F65/$D$50*$D$47*$B$68)*($B$57/$D$64))</f>
        <v>562.96227473476813</v>
      </c>
      <c r="H65" s="212">
        <f>IF(ISBLANK(F65),"-",G65/$B$56)</f>
        <v>1.1259245494695362</v>
      </c>
    </row>
    <row r="66" spans="1:8" ht="26.25" customHeight="1" x14ac:dyDescent="0.4">
      <c r="A66" s="145" t="s">
        <v>103</v>
      </c>
      <c r="B66" s="146">
        <v>1</v>
      </c>
      <c r="C66" s="344"/>
      <c r="D66" s="347"/>
      <c r="E66" s="206">
        <v>3</v>
      </c>
      <c r="F66" s="158">
        <v>129003715</v>
      </c>
      <c r="G66" s="293">
        <f>IF(ISBLANK(F66),"-",(F66/$D$50*$D$47*$B$68)*($B$57/$D$64))</f>
        <v>564.30768110973861</v>
      </c>
      <c r="H66" s="212">
        <f t="shared" si="0"/>
        <v>1.1286153622194772</v>
      </c>
    </row>
    <row r="67" spans="1:8" ht="27" customHeight="1" thickBot="1" x14ac:dyDescent="0.45">
      <c r="A67" s="145" t="s">
        <v>104</v>
      </c>
      <c r="B67" s="146">
        <v>1</v>
      </c>
      <c r="C67" s="345"/>
      <c r="D67" s="348"/>
      <c r="E67" s="209">
        <v>4</v>
      </c>
      <c r="F67" s="210"/>
      <c r="G67" s="294" t="str">
        <f>IF(ISBLANK(F67),"-",(F67/$D$50*$D$47*$B$68)*($B$57/$D$64))</f>
        <v>-</v>
      </c>
      <c r="H67" s="213" t="str">
        <f t="shared" si="0"/>
        <v>-</v>
      </c>
    </row>
    <row r="68" spans="1:8" ht="26.25" customHeight="1" x14ac:dyDescent="0.4">
      <c r="A68" s="145" t="s">
        <v>105</v>
      </c>
      <c r="B68" s="214">
        <f>(B67/B66)*(B65/B64)*(B63/B62)*(B61/B60)*B59</f>
        <v>100</v>
      </c>
      <c r="C68" s="343" t="s">
        <v>106</v>
      </c>
      <c r="D68" s="346">
        <v>112.4</v>
      </c>
      <c r="E68" s="203">
        <v>1</v>
      </c>
      <c r="F68" s="158">
        <v>122169969</v>
      </c>
      <c r="G68" s="292">
        <f>IF(ISBLANK(F68),"-",(F68/$D$50*$D$47*$B$68)*($B$57/$D$68))</f>
        <v>556.85607349578288</v>
      </c>
      <c r="H68" s="207">
        <f>IF(ISBLANK(F68),"-",G68/$B$56)</f>
        <v>1.1137121469915658</v>
      </c>
    </row>
    <row r="69" spans="1:8" ht="27" customHeight="1" thickBot="1" x14ac:dyDescent="0.45">
      <c r="A69" s="193" t="s">
        <v>107</v>
      </c>
      <c r="B69" s="215">
        <f>(D47*B68)/B56*B57</f>
        <v>111.8182</v>
      </c>
      <c r="C69" s="344"/>
      <c r="D69" s="347"/>
      <c r="E69" s="206">
        <v>2</v>
      </c>
      <c r="F69" s="158">
        <v>121616064</v>
      </c>
      <c r="G69" s="293">
        <f>IF(ISBLANK(F69),"-",(F69/$D$50*$D$47*$B$68)*($B$57/$D$68))</f>
        <v>554.33135022774582</v>
      </c>
      <c r="H69" s="207">
        <f t="shared" si="0"/>
        <v>1.1086627004554916</v>
      </c>
    </row>
    <row r="70" spans="1:8" ht="26.25" customHeight="1" x14ac:dyDescent="0.4">
      <c r="A70" s="356" t="s">
        <v>80</v>
      </c>
      <c r="B70" s="357"/>
      <c r="C70" s="344"/>
      <c r="D70" s="347"/>
      <c r="E70" s="206">
        <v>3</v>
      </c>
      <c r="F70" s="158">
        <v>121260713</v>
      </c>
      <c r="G70" s="293">
        <f>IF(ISBLANK(F70),"-",(F70/$D$50*$D$47*$B$68)*($B$57/$D$68))</f>
        <v>552.71164479446691</v>
      </c>
      <c r="H70" s="207">
        <f>IF(ISBLANK(F70),"-",G70/$B$56)</f>
        <v>1.1054232895889338</v>
      </c>
    </row>
    <row r="71" spans="1:8" ht="27" customHeight="1" x14ac:dyDescent="0.4">
      <c r="A71" s="358"/>
      <c r="B71" s="359"/>
      <c r="C71" s="355"/>
      <c r="D71" s="348"/>
      <c r="E71" s="209">
        <v>4</v>
      </c>
      <c r="F71" s="210"/>
      <c r="G71" s="294" t="str">
        <f>IF(ISBLANK(F71),"-",(F71/$D$50*$D$47*$B$68)*($B$57/$D$68))</f>
        <v>-</v>
      </c>
      <c r="H71" s="216" t="str">
        <f t="shared" si="0"/>
        <v>-</v>
      </c>
    </row>
    <row r="72" spans="1:8" ht="26.25" customHeight="1" x14ac:dyDescent="0.4">
      <c r="A72" s="217"/>
      <c r="B72" s="217"/>
      <c r="C72" s="217"/>
      <c r="D72" s="217"/>
      <c r="E72" s="217"/>
      <c r="F72" s="218"/>
      <c r="G72" s="219" t="s">
        <v>73</v>
      </c>
      <c r="H72" s="220">
        <f>AVERAGE(H60:H71)</f>
        <v>1.1159636173880887</v>
      </c>
    </row>
    <row r="73" spans="1:8" ht="26.25" customHeight="1" x14ac:dyDescent="0.4">
      <c r="C73" s="217"/>
      <c r="D73" s="217"/>
      <c r="E73" s="217"/>
      <c r="F73" s="218"/>
      <c r="G73" s="221" t="s">
        <v>86</v>
      </c>
      <c r="H73" s="295">
        <f>STDEV(H60:H71)/H72</f>
        <v>8.187238388585736E-3</v>
      </c>
    </row>
    <row r="74" spans="1:8" ht="27" customHeight="1" x14ac:dyDescent="0.4">
      <c r="A74" s="217"/>
      <c r="B74" s="217"/>
      <c r="C74" s="218"/>
      <c r="D74" s="218"/>
      <c r="E74" s="222"/>
      <c r="F74" s="218"/>
      <c r="G74" s="223" t="s">
        <v>18</v>
      </c>
      <c r="H74" s="224">
        <f>COUNT(H60:H71)</f>
        <v>9</v>
      </c>
    </row>
    <row r="76" spans="1:8" ht="26.25" customHeight="1" x14ac:dyDescent="0.4">
      <c r="A76" s="129" t="s">
        <v>108</v>
      </c>
      <c r="B76" s="225" t="s">
        <v>109</v>
      </c>
      <c r="C76" s="351" t="str">
        <f>B20</f>
        <v>Amoxicillin and Clavulanic Acid</v>
      </c>
      <c r="D76" s="351"/>
      <c r="E76" s="226" t="s">
        <v>110</v>
      </c>
      <c r="F76" s="226"/>
      <c r="G76" s="227">
        <f>H72</f>
        <v>1.1159636173880887</v>
      </c>
      <c r="H76" s="228"/>
    </row>
    <row r="77" spans="1:8" ht="18.75" x14ac:dyDescent="0.3">
      <c r="A77" s="128" t="s">
        <v>111</v>
      </c>
      <c r="B77" s="128" t="s">
        <v>112</v>
      </c>
    </row>
    <row r="78" spans="1:8" ht="18.75" x14ac:dyDescent="0.3">
      <c r="A78" s="128"/>
      <c r="B78" s="128"/>
    </row>
    <row r="79" spans="1:8" ht="26.25" customHeight="1" x14ac:dyDescent="0.4">
      <c r="A79" s="129" t="s">
        <v>4</v>
      </c>
      <c r="B79" s="337" t="str">
        <f>B26</f>
        <v>Amoxicillin</v>
      </c>
      <c r="C79" s="337"/>
    </row>
    <row r="80" spans="1:8" ht="26.25" customHeight="1" x14ac:dyDescent="0.4">
      <c r="A80" s="130" t="s">
        <v>50</v>
      </c>
      <c r="B80" s="337" t="str">
        <f>B27</f>
        <v>A18-015</v>
      </c>
      <c r="C80" s="337"/>
    </row>
    <row r="81" spans="1:12" ht="27" customHeight="1" x14ac:dyDescent="0.4">
      <c r="A81" s="130" t="s">
        <v>5</v>
      </c>
      <c r="B81" s="229">
        <f>B28</f>
        <v>98.3</v>
      </c>
    </row>
    <row r="82" spans="1:12" s="14" customFormat="1" ht="27" customHeight="1" x14ac:dyDescent="0.4">
      <c r="A82" s="130" t="s">
        <v>51</v>
      </c>
      <c r="B82" s="132">
        <v>0</v>
      </c>
      <c r="C82" s="328" t="s">
        <v>52</v>
      </c>
      <c r="D82" s="329"/>
      <c r="E82" s="329"/>
      <c r="F82" s="329"/>
      <c r="G82" s="330"/>
      <c r="I82" s="133"/>
      <c r="J82" s="133"/>
      <c r="K82" s="133"/>
      <c r="L82" s="133"/>
    </row>
    <row r="83" spans="1:12" s="14" customFormat="1" ht="19.5" customHeight="1" x14ac:dyDescent="0.3">
      <c r="A83" s="130" t="s">
        <v>53</v>
      </c>
      <c r="B83" s="134">
        <f>B81-B82</f>
        <v>98.3</v>
      </c>
      <c r="C83" s="135"/>
      <c r="D83" s="135"/>
      <c r="E83" s="135"/>
      <c r="F83" s="135"/>
      <c r="G83" s="136"/>
      <c r="I83" s="133"/>
      <c r="J83" s="133"/>
      <c r="K83" s="133"/>
      <c r="L83" s="133"/>
    </row>
    <row r="84" spans="1:12" s="14" customFormat="1" ht="27" customHeight="1" x14ac:dyDescent="0.4">
      <c r="A84" s="130" t="s">
        <v>54</v>
      </c>
      <c r="B84" s="137">
        <v>1</v>
      </c>
      <c r="C84" s="331" t="s">
        <v>113</v>
      </c>
      <c r="D84" s="332"/>
      <c r="E84" s="332"/>
      <c r="F84" s="332"/>
      <c r="G84" s="332"/>
      <c r="H84" s="333"/>
      <c r="I84" s="133"/>
      <c r="J84" s="133"/>
      <c r="K84" s="133"/>
      <c r="L84" s="133"/>
    </row>
    <row r="85" spans="1:12" s="14" customFormat="1" ht="27" customHeight="1" x14ac:dyDescent="0.4">
      <c r="A85" s="130" t="s">
        <v>56</v>
      </c>
      <c r="B85" s="137">
        <v>1</v>
      </c>
      <c r="C85" s="331" t="s">
        <v>114</v>
      </c>
      <c r="D85" s="332"/>
      <c r="E85" s="332"/>
      <c r="F85" s="332"/>
      <c r="G85" s="332"/>
      <c r="H85" s="333"/>
      <c r="I85" s="133"/>
      <c r="J85" s="133"/>
      <c r="K85" s="133"/>
      <c r="L85" s="133"/>
    </row>
    <row r="86" spans="1:12" s="14" customFormat="1" ht="18.75" x14ac:dyDescent="0.3">
      <c r="A86" s="130"/>
      <c r="B86" s="140"/>
      <c r="C86" s="141"/>
      <c r="D86" s="141"/>
      <c r="E86" s="141"/>
      <c r="F86" s="141"/>
      <c r="G86" s="141"/>
      <c r="H86" s="141"/>
      <c r="I86" s="133"/>
      <c r="J86" s="133"/>
      <c r="K86" s="133"/>
      <c r="L86" s="133"/>
    </row>
    <row r="87" spans="1:12" s="14" customFormat="1" ht="18.75" x14ac:dyDescent="0.3">
      <c r="A87" s="130" t="s">
        <v>58</v>
      </c>
      <c r="B87" s="142">
        <f>B84/B85</f>
        <v>1</v>
      </c>
      <c r="C87" s="120" t="s">
        <v>59</v>
      </c>
      <c r="D87" s="120"/>
      <c r="E87" s="120"/>
      <c r="F87" s="120"/>
      <c r="G87" s="120"/>
      <c r="I87" s="133"/>
      <c r="J87" s="133"/>
      <c r="K87" s="133"/>
      <c r="L87" s="133"/>
    </row>
    <row r="88" spans="1:12" ht="19.5" customHeight="1" x14ac:dyDescent="0.3">
      <c r="A88" s="128"/>
      <c r="B88" s="128"/>
    </row>
    <row r="89" spans="1:12" ht="27" customHeight="1" x14ac:dyDescent="0.4">
      <c r="A89" s="143" t="s">
        <v>60</v>
      </c>
      <c r="B89" s="144">
        <v>50</v>
      </c>
      <c r="D89" s="230" t="s">
        <v>61</v>
      </c>
      <c r="E89" s="231"/>
      <c r="F89" s="334" t="s">
        <v>62</v>
      </c>
      <c r="G89" s="336"/>
    </row>
    <row r="90" spans="1:12" ht="27" customHeight="1" x14ac:dyDescent="0.4">
      <c r="A90" s="145" t="s">
        <v>63</v>
      </c>
      <c r="B90" s="146">
        <v>1</v>
      </c>
      <c r="C90" s="232" t="s">
        <v>64</v>
      </c>
      <c r="D90" s="148" t="s">
        <v>65</v>
      </c>
      <c r="E90" s="149" t="s">
        <v>66</v>
      </c>
      <c r="F90" s="148" t="s">
        <v>65</v>
      </c>
      <c r="G90" s="233" t="s">
        <v>66</v>
      </c>
      <c r="I90" s="151" t="s">
        <v>67</v>
      </c>
    </row>
    <row r="91" spans="1:12" ht="26.25" customHeight="1" x14ac:dyDescent="0.4">
      <c r="A91" s="145" t="s">
        <v>68</v>
      </c>
      <c r="B91" s="146">
        <v>1</v>
      </c>
      <c r="C91" s="234">
        <v>1</v>
      </c>
      <c r="D91" s="153">
        <v>108030479</v>
      </c>
      <c r="E91" s="154">
        <f>IF(ISBLANK(D91),"-",$D$101/$D$98*D91)</f>
        <v>124297364.5991998</v>
      </c>
      <c r="F91" s="153">
        <v>110502200</v>
      </c>
      <c r="G91" s="155">
        <f>IF(ISBLANK(F91),"-",$D$101/$F$98*F91)</f>
        <v>121265614.69468559</v>
      </c>
      <c r="I91" s="156"/>
    </row>
    <row r="92" spans="1:12" ht="26.25" customHeight="1" x14ac:dyDescent="0.4">
      <c r="A92" s="145" t="s">
        <v>69</v>
      </c>
      <c r="B92" s="146">
        <v>1</v>
      </c>
      <c r="C92" s="218">
        <v>2</v>
      </c>
      <c r="D92" s="158">
        <v>104345261</v>
      </c>
      <c r="E92" s="159">
        <f>IF(ISBLANK(D92),"-",$D$101/$D$98*D92)</f>
        <v>120057238.20511492</v>
      </c>
      <c r="F92" s="158">
        <v>110224594</v>
      </c>
      <c r="G92" s="160">
        <f>IF(ISBLANK(F92),"-",$D$101/$F$98*F92)</f>
        <v>120960968.61313309</v>
      </c>
      <c r="I92" s="338">
        <f>ABS((F96/D96*D95)-F95)/D95</f>
        <v>2.3929647942026091E-3</v>
      </c>
    </row>
    <row r="93" spans="1:12" ht="26.25" customHeight="1" x14ac:dyDescent="0.4">
      <c r="A93" s="145" t="s">
        <v>70</v>
      </c>
      <c r="B93" s="146">
        <v>1</v>
      </c>
      <c r="C93" s="218">
        <v>3</v>
      </c>
      <c r="D93" s="158">
        <v>104141022</v>
      </c>
      <c r="E93" s="159">
        <f>IF(ISBLANK(D93),"-",$D$101/$D$98*D93)</f>
        <v>119822245.54671545</v>
      </c>
      <c r="F93" s="158">
        <v>110368668</v>
      </c>
      <c r="G93" s="160">
        <f>IF(ISBLANK(F93),"-",$D$101/$F$98*F93)</f>
        <v>121119076.07317932</v>
      </c>
      <c r="I93" s="338"/>
    </row>
    <row r="94" spans="1:12" ht="27" customHeight="1" x14ac:dyDescent="0.4">
      <c r="A94" s="145" t="s">
        <v>71</v>
      </c>
      <c r="B94" s="146">
        <v>1</v>
      </c>
      <c r="C94" s="235">
        <v>4</v>
      </c>
      <c r="D94" s="163"/>
      <c r="E94" s="164" t="str">
        <f>IF(ISBLANK(D94),"-",$D$101/$D$98*D94)</f>
        <v>-</v>
      </c>
      <c r="F94" s="236"/>
      <c r="G94" s="165" t="str">
        <f>IF(ISBLANK(F94),"-",$D$101/$F$98*F94)</f>
        <v>-</v>
      </c>
      <c r="I94" s="166"/>
    </row>
    <row r="95" spans="1:12" ht="27" customHeight="1" x14ac:dyDescent="0.4">
      <c r="A95" s="145" t="s">
        <v>72</v>
      </c>
      <c r="B95" s="146">
        <v>1</v>
      </c>
      <c r="C95" s="237" t="s">
        <v>73</v>
      </c>
      <c r="D95" s="308">
        <f>AVERAGE(D91:D94)</f>
        <v>105505587.33333333</v>
      </c>
      <c r="E95" s="169">
        <f>AVERAGE(E91:E94)</f>
        <v>121392282.78367673</v>
      </c>
      <c r="F95" s="309">
        <f>AVERAGE(F91:F94)</f>
        <v>110365154</v>
      </c>
      <c r="G95" s="238">
        <f>AVERAGE(G91:G94)</f>
        <v>121115219.79366601</v>
      </c>
    </row>
    <row r="96" spans="1:12" ht="26.25" customHeight="1" x14ac:dyDescent="0.4">
      <c r="A96" s="145" t="s">
        <v>74</v>
      </c>
      <c r="B96" s="131">
        <v>1</v>
      </c>
      <c r="C96" s="239" t="s">
        <v>115</v>
      </c>
      <c r="D96" s="240">
        <v>24.56</v>
      </c>
      <c r="E96" s="161"/>
      <c r="F96" s="173">
        <v>25.75</v>
      </c>
    </row>
    <row r="97" spans="1:10" ht="26.25" customHeight="1" x14ac:dyDescent="0.4">
      <c r="A97" s="145" t="s">
        <v>76</v>
      </c>
      <c r="B97" s="131">
        <v>1</v>
      </c>
      <c r="C97" s="241" t="s">
        <v>116</v>
      </c>
      <c r="D97" s="242">
        <f>D96*$B$87</f>
        <v>24.56</v>
      </c>
      <c r="E97" s="176"/>
      <c r="F97" s="175">
        <f>F96*$B$87</f>
        <v>25.75</v>
      </c>
    </row>
    <row r="98" spans="1:10" ht="19.5" customHeight="1" x14ac:dyDescent="0.3">
      <c r="A98" s="145" t="s">
        <v>78</v>
      </c>
      <c r="B98" s="243">
        <f>(B97/B96)*(B95/B94)*(B93/B92)*(B91/B90)*B89</f>
        <v>50</v>
      </c>
      <c r="C98" s="241" t="s">
        <v>117</v>
      </c>
      <c r="D98" s="244">
        <f>D97*$B$83/100</f>
        <v>24.142479999999995</v>
      </c>
      <c r="E98" s="179"/>
      <c r="F98" s="178">
        <f>F97*$B$83/100</f>
        <v>25.312249999999999</v>
      </c>
    </row>
    <row r="99" spans="1:10" ht="19.5" customHeight="1" x14ac:dyDescent="0.3">
      <c r="A99" s="339" t="s">
        <v>80</v>
      </c>
      <c r="B99" s="353"/>
      <c r="C99" s="241" t="s">
        <v>118</v>
      </c>
      <c r="D99" s="245">
        <f>D98/$B$98</f>
        <v>0.48284959999999993</v>
      </c>
      <c r="E99" s="179"/>
      <c r="F99" s="182">
        <f>F98/$B$98</f>
        <v>0.50624499999999995</v>
      </c>
      <c r="G99" s="246"/>
      <c r="H99" s="171"/>
    </row>
    <row r="100" spans="1:10" ht="19.5" customHeight="1" x14ac:dyDescent="0.3">
      <c r="A100" s="341"/>
      <c r="B100" s="354"/>
      <c r="C100" s="241" t="s">
        <v>82</v>
      </c>
      <c r="D100" s="247">
        <f>$B$56/$B$116</f>
        <v>0.55555555555555558</v>
      </c>
      <c r="F100" s="187"/>
      <c r="G100" s="248"/>
      <c r="H100" s="171"/>
    </row>
    <row r="101" spans="1:10" ht="18.75" x14ac:dyDescent="0.3">
      <c r="C101" s="241" t="s">
        <v>83</v>
      </c>
      <c r="D101" s="242">
        <f>D100*$B$98</f>
        <v>27.777777777777779</v>
      </c>
      <c r="F101" s="187"/>
      <c r="G101" s="246"/>
      <c r="H101" s="171"/>
    </row>
    <row r="102" spans="1:10" ht="19.5" customHeight="1" x14ac:dyDescent="0.3">
      <c r="C102" s="249" t="s">
        <v>84</v>
      </c>
      <c r="D102" s="250">
        <f>D101/B34</f>
        <v>27.777777777777779</v>
      </c>
      <c r="F102" s="191"/>
      <c r="G102" s="246"/>
      <c r="H102" s="171"/>
      <c r="J102" s="251"/>
    </row>
    <row r="103" spans="1:10" ht="18.75" x14ac:dyDescent="0.3">
      <c r="C103" s="252" t="s">
        <v>119</v>
      </c>
      <c r="D103" s="253">
        <f>AVERAGE(E91:E94,G91:G94)</f>
        <v>121253751.28867137</v>
      </c>
      <c r="F103" s="191"/>
      <c r="G103" s="254"/>
      <c r="H103" s="171"/>
      <c r="J103" s="255"/>
    </row>
    <row r="104" spans="1:10" ht="18.75" x14ac:dyDescent="0.3">
      <c r="C104" s="221" t="s">
        <v>86</v>
      </c>
      <c r="D104" s="256">
        <f>STDEV(E91:E94,G91:G94)/D103</f>
        <v>1.322040971819163E-2</v>
      </c>
      <c r="F104" s="191"/>
      <c r="G104" s="246"/>
      <c r="H104" s="171"/>
      <c r="J104" s="255"/>
    </row>
    <row r="105" spans="1:10" ht="19.5" customHeight="1" x14ac:dyDescent="0.3">
      <c r="C105" s="223" t="s">
        <v>18</v>
      </c>
      <c r="D105" s="257">
        <f>COUNT(E91:E94,G91:G94)</f>
        <v>6</v>
      </c>
      <c r="F105" s="191"/>
      <c r="G105" s="246"/>
      <c r="H105" s="171"/>
      <c r="J105" s="255"/>
    </row>
    <row r="106" spans="1:10" ht="19.5" customHeight="1" x14ac:dyDescent="0.3">
      <c r="A106" s="195"/>
      <c r="B106" s="195"/>
      <c r="C106" s="195"/>
      <c r="D106" s="195"/>
      <c r="E106" s="195"/>
    </row>
    <row r="107" spans="1:10" ht="26.25" customHeight="1" x14ac:dyDescent="0.4">
      <c r="A107" s="143" t="s">
        <v>120</v>
      </c>
      <c r="B107" s="144">
        <v>900</v>
      </c>
      <c r="C107" s="258" t="s">
        <v>39</v>
      </c>
      <c r="D107" s="259" t="s">
        <v>65</v>
      </c>
      <c r="E107" s="260" t="s">
        <v>121</v>
      </c>
      <c r="F107" s="261" t="s">
        <v>122</v>
      </c>
    </row>
    <row r="108" spans="1:10" ht="26.25" customHeight="1" x14ac:dyDescent="0.4">
      <c r="A108" s="145" t="s">
        <v>123</v>
      </c>
      <c r="B108" s="146">
        <v>1</v>
      </c>
      <c r="C108" s="262">
        <v>1</v>
      </c>
      <c r="D108" s="310">
        <v>129593805</v>
      </c>
      <c r="E108" s="296">
        <f t="shared" ref="E108:E113" si="1">IF(ISBLANK(D108),"-",D108/$D$103*$D$100*$B$116)</f>
        <v>534.39091006542674</v>
      </c>
      <c r="F108" s="263">
        <f>IF(ISBLANK(D108), "-", E108/$B$56)</f>
        <v>1.0687818201308534</v>
      </c>
    </row>
    <row r="109" spans="1:10" ht="26.25" customHeight="1" x14ac:dyDescent="0.4">
      <c r="A109" s="145" t="s">
        <v>97</v>
      </c>
      <c r="B109" s="146">
        <v>1</v>
      </c>
      <c r="C109" s="262">
        <v>2</v>
      </c>
      <c r="D109" s="310">
        <v>128556987</v>
      </c>
      <c r="E109" s="297">
        <f t="shared" si="1"/>
        <v>530.11550419558432</v>
      </c>
      <c r="F109" s="264">
        <f>IF(ISBLANK(D109), "-", E109/$B$56)</f>
        <v>1.0602310083911686</v>
      </c>
    </row>
    <row r="110" spans="1:10" ht="26.25" customHeight="1" x14ac:dyDescent="0.4">
      <c r="A110" s="145" t="s">
        <v>98</v>
      </c>
      <c r="B110" s="146">
        <v>1</v>
      </c>
      <c r="C110" s="262">
        <v>3</v>
      </c>
      <c r="D110" s="310">
        <v>128049727</v>
      </c>
      <c r="E110" s="297">
        <f t="shared" si="1"/>
        <v>528.02377509603525</v>
      </c>
      <c r="F110" s="264">
        <f t="shared" ref="F109:F113" si="2">IF(ISBLANK(D110), "-", E110/$B$56)</f>
        <v>1.0560475501920705</v>
      </c>
    </row>
    <row r="111" spans="1:10" ht="26.25" customHeight="1" x14ac:dyDescent="0.4">
      <c r="A111" s="145" t="s">
        <v>99</v>
      </c>
      <c r="B111" s="146">
        <v>1</v>
      </c>
      <c r="C111" s="262">
        <v>4</v>
      </c>
      <c r="D111" s="310">
        <v>130140116</v>
      </c>
      <c r="E111" s="297">
        <f t="shared" si="1"/>
        <v>536.64366923449927</v>
      </c>
      <c r="F111" s="264">
        <f>IF(ISBLANK(D111), "-", E111/$B$56)</f>
        <v>1.0732873384689985</v>
      </c>
    </row>
    <row r="112" spans="1:10" ht="26.25" customHeight="1" x14ac:dyDescent="0.4">
      <c r="A112" s="145" t="s">
        <v>100</v>
      </c>
      <c r="B112" s="146">
        <v>1</v>
      </c>
      <c r="C112" s="262">
        <v>5</v>
      </c>
      <c r="D112" s="310">
        <v>129736442</v>
      </c>
      <c r="E112" s="297">
        <f>IF(ISBLANK(D112),"-",D112/$D$103*$D$100*$B$116)</f>
        <v>534.97908568260993</v>
      </c>
      <c r="F112" s="264">
        <f t="shared" si="2"/>
        <v>1.06995817136522</v>
      </c>
    </row>
    <row r="113" spans="1:10" ht="26.25" customHeight="1" x14ac:dyDescent="0.4">
      <c r="A113" s="145" t="s">
        <v>102</v>
      </c>
      <c r="B113" s="146">
        <v>1</v>
      </c>
      <c r="C113" s="265">
        <v>6</v>
      </c>
      <c r="D113" s="311">
        <v>129590545</v>
      </c>
      <c r="E113" s="298">
        <f>IF(ISBLANK(D113),"-",D113/$D$103*$D$100*$B$116)</f>
        <v>534.37746718235985</v>
      </c>
      <c r="F113" s="266">
        <f t="shared" si="2"/>
        <v>1.0687549343647198</v>
      </c>
    </row>
    <row r="114" spans="1:10" ht="26.25" customHeight="1" x14ac:dyDescent="0.4">
      <c r="A114" s="145" t="s">
        <v>103</v>
      </c>
      <c r="B114" s="146">
        <v>1</v>
      </c>
      <c r="C114" s="262"/>
      <c r="D114" s="218"/>
      <c r="E114" s="119"/>
      <c r="F114" s="267"/>
    </row>
    <row r="115" spans="1:10" ht="26.25" customHeight="1" x14ac:dyDescent="0.4">
      <c r="A115" s="145" t="s">
        <v>104</v>
      </c>
      <c r="B115" s="146">
        <v>1</v>
      </c>
      <c r="C115" s="262"/>
      <c r="D115" s="268"/>
      <c r="E115" s="269" t="s">
        <v>73</v>
      </c>
      <c r="F115" s="270">
        <f>AVERAGE(F108:F113)</f>
        <v>1.0661768038188384</v>
      </c>
    </row>
    <row r="116" spans="1:10" ht="27" customHeight="1" x14ac:dyDescent="0.4">
      <c r="A116" s="145" t="s">
        <v>105</v>
      </c>
      <c r="B116" s="177">
        <f>(B115/B114)*(B113/B112)*(B111/B110)*(B109/B108)*B107</f>
        <v>900</v>
      </c>
      <c r="C116" s="271"/>
      <c r="D116" s="272"/>
      <c r="E116" s="237" t="s">
        <v>86</v>
      </c>
      <c r="F116" s="273">
        <f>STDEV(F108:F113)/F115</f>
        <v>6.1682132628860398E-3</v>
      </c>
      <c r="I116" s="119"/>
    </row>
    <row r="117" spans="1:10" ht="27" customHeight="1" x14ac:dyDescent="0.4">
      <c r="A117" s="339" t="s">
        <v>80</v>
      </c>
      <c r="B117" s="340"/>
      <c r="C117" s="274"/>
      <c r="D117" s="275"/>
      <c r="E117" s="276" t="s">
        <v>18</v>
      </c>
      <c r="F117" s="277">
        <f>COUNT(F108:F113)</f>
        <v>6</v>
      </c>
      <c r="I117" s="119"/>
      <c r="J117" s="255"/>
    </row>
    <row r="118" spans="1:10" ht="19.5" customHeight="1" x14ac:dyDescent="0.3">
      <c r="A118" s="341"/>
      <c r="B118" s="342"/>
      <c r="C118" s="119"/>
      <c r="D118" s="119"/>
      <c r="E118" s="119"/>
      <c r="F118" s="218"/>
      <c r="G118" s="119"/>
      <c r="H118" s="119"/>
      <c r="I118" s="119"/>
    </row>
    <row r="119" spans="1:10" ht="18.75" x14ac:dyDescent="0.3">
      <c r="A119" s="286"/>
      <c r="B119" s="141"/>
      <c r="C119" s="119"/>
      <c r="D119" s="119"/>
      <c r="E119" s="119"/>
      <c r="F119" s="218"/>
      <c r="G119" s="119"/>
      <c r="H119" s="119"/>
      <c r="I119" s="119"/>
    </row>
    <row r="120" spans="1:10" ht="26.25" customHeight="1" x14ac:dyDescent="0.4">
      <c r="A120" s="129" t="s">
        <v>108</v>
      </c>
      <c r="B120" s="225" t="s">
        <v>124</v>
      </c>
      <c r="C120" s="351" t="str">
        <f>B20</f>
        <v>Amoxicillin and Clavulanic Acid</v>
      </c>
      <c r="D120" s="351"/>
      <c r="E120" s="226" t="s">
        <v>125</v>
      </c>
      <c r="F120" s="226"/>
      <c r="G120" s="227">
        <f>F115</f>
        <v>1.0661768038188384</v>
      </c>
      <c r="H120" s="119"/>
      <c r="I120" s="119"/>
    </row>
    <row r="121" spans="1:10" ht="19.5" customHeight="1" x14ac:dyDescent="0.3">
      <c r="A121" s="278"/>
      <c r="B121" s="278"/>
      <c r="C121" s="279"/>
      <c r="D121" s="279"/>
      <c r="E121" s="279"/>
      <c r="F121" s="279"/>
      <c r="G121" s="279"/>
      <c r="H121" s="279"/>
    </row>
    <row r="122" spans="1:10" ht="18.75" x14ac:dyDescent="0.3">
      <c r="B122" s="352" t="s">
        <v>24</v>
      </c>
      <c r="C122" s="352"/>
      <c r="E122" s="232" t="s">
        <v>25</v>
      </c>
      <c r="F122" s="280"/>
      <c r="G122" s="352" t="s">
        <v>26</v>
      </c>
      <c r="H122" s="352"/>
    </row>
    <row r="123" spans="1:10" ht="69.95" customHeight="1" x14ac:dyDescent="0.3">
      <c r="A123" s="281" t="s">
        <v>27</v>
      </c>
      <c r="B123" s="282"/>
      <c r="C123" s="282"/>
      <c r="E123" s="282"/>
      <c r="F123" s="119"/>
      <c r="G123" s="283"/>
      <c r="H123" s="283"/>
    </row>
    <row r="124" spans="1:10" ht="69.95" customHeight="1" x14ac:dyDescent="0.3">
      <c r="A124" s="281" t="s">
        <v>28</v>
      </c>
      <c r="B124" s="284"/>
      <c r="C124" s="284"/>
      <c r="E124" s="284"/>
      <c r="F124" s="119"/>
      <c r="G124" s="285"/>
      <c r="H124" s="285"/>
    </row>
    <row r="125" spans="1:10" ht="18.75" x14ac:dyDescent="0.3">
      <c r="A125" s="217"/>
      <c r="B125" s="217"/>
      <c r="C125" s="218"/>
      <c r="D125" s="218"/>
      <c r="E125" s="218"/>
      <c r="F125" s="222"/>
      <c r="G125" s="218"/>
      <c r="H125" s="218"/>
      <c r="I125" s="119"/>
    </row>
    <row r="126" spans="1:10" ht="18.75" x14ac:dyDescent="0.3">
      <c r="A126" s="217"/>
      <c r="B126" s="217"/>
      <c r="C126" s="218"/>
      <c r="D126" s="218"/>
      <c r="E126" s="218"/>
      <c r="F126" s="222"/>
      <c r="G126" s="218"/>
      <c r="H126" s="218"/>
      <c r="I126" s="119"/>
    </row>
    <row r="127" spans="1:10" ht="18.75" x14ac:dyDescent="0.3">
      <c r="A127" s="217"/>
      <c r="B127" s="217"/>
      <c r="C127" s="218"/>
      <c r="D127" s="218"/>
      <c r="E127" s="218"/>
      <c r="F127" s="222"/>
      <c r="G127" s="218"/>
      <c r="H127" s="218"/>
      <c r="I127" s="119"/>
    </row>
    <row r="128" spans="1:10" ht="18.75" x14ac:dyDescent="0.3">
      <c r="A128" s="217"/>
      <c r="B128" s="217"/>
      <c r="C128" s="218"/>
      <c r="D128" s="218"/>
      <c r="E128" s="218"/>
      <c r="F128" s="222"/>
      <c r="G128" s="218"/>
      <c r="H128" s="218"/>
      <c r="I128" s="119"/>
    </row>
    <row r="129" spans="1:9" ht="18.75" x14ac:dyDescent="0.3">
      <c r="A129" s="217"/>
      <c r="B129" s="217"/>
      <c r="C129" s="218"/>
      <c r="D129" s="218"/>
      <c r="E129" s="218"/>
      <c r="F129" s="222"/>
      <c r="G129" s="218"/>
      <c r="H129" s="218"/>
      <c r="I129" s="119"/>
    </row>
    <row r="130" spans="1:9" ht="18.75" x14ac:dyDescent="0.3">
      <c r="A130" s="217"/>
      <c r="B130" s="217"/>
      <c r="C130" s="218"/>
      <c r="D130" s="218"/>
      <c r="E130" s="218"/>
      <c r="F130" s="222"/>
      <c r="G130" s="218"/>
      <c r="H130" s="218"/>
      <c r="I130" s="119"/>
    </row>
    <row r="131" spans="1:9" ht="18.75" x14ac:dyDescent="0.3">
      <c r="A131" s="217"/>
      <c r="B131" s="217"/>
      <c r="C131" s="218"/>
      <c r="D131" s="218"/>
      <c r="E131" s="218"/>
      <c r="F131" s="222"/>
      <c r="G131" s="218"/>
      <c r="H131" s="218"/>
      <c r="I131" s="119"/>
    </row>
    <row r="132" spans="1:9" ht="18.75" x14ac:dyDescent="0.3">
      <c r="A132" s="217"/>
      <c r="B132" s="217"/>
      <c r="C132" s="218"/>
      <c r="D132" s="218"/>
      <c r="E132" s="218"/>
      <c r="F132" s="222"/>
      <c r="G132" s="218"/>
      <c r="H132" s="218"/>
      <c r="I132" s="119"/>
    </row>
    <row r="133" spans="1:9" ht="18.75" x14ac:dyDescent="0.3">
      <c r="A133" s="217"/>
      <c r="B133" s="217"/>
      <c r="C133" s="218"/>
      <c r="D133" s="218"/>
      <c r="E133" s="218"/>
      <c r="F133" s="222"/>
      <c r="G133" s="218"/>
      <c r="H133" s="218"/>
      <c r="I133" s="119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35" priority="1" operator="greaterThan">
      <formula>0.02</formula>
    </cfRule>
  </conditionalFormatting>
  <conditionalFormatting sqref="D51">
    <cfRule type="cellIs" dxfId="34" priority="2" operator="greaterThan">
      <formula>0.02</formula>
    </cfRule>
  </conditionalFormatting>
  <conditionalFormatting sqref="H73">
    <cfRule type="cellIs" dxfId="33" priority="3" operator="greaterThan">
      <formula>0.02</formula>
    </cfRule>
  </conditionalFormatting>
  <conditionalFormatting sqref="D104">
    <cfRule type="cellIs" dxfId="32" priority="4" operator="greaterThan">
      <formula>0.02</formula>
    </cfRule>
  </conditionalFormatting>
  <conditionalFormatting sqref="I39">
    <cfRule type="cellIs" dxfId="31" priority="5" operator="lessThanOrEqual">
      <formula>0.02</formula>
    </cfRule>
  </conditionalFormatting>
  <conditionalFormatting sqref="I39">
    <cfRule type="cellIs" dxfId="30" priority="6" operator="greaterThan">
      <formula>0.02</formula>
    </cfRule>
  </conditionalFormatting>
  <conditionalFormatting sqref="I92">
    <cfRule type="cellIs" dxfId="29" priority="7" operator="lessThanOrEqual">
      <formula>0.02</formula>
    </cfRule>
  </conditionalFormatting>
  <conditionalFormatting sqref="I92">
    <cfRule type="cellIs" dxfId="28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9" workbookViewId="0">
      <selection activeCell="E30" sqref="E30"/>
    </sheetView>
  </sheetViews>
  <sheetFormatPr defaultRowHeight="13.5" x14ac:dyDescent="0.25"/>
  <cols>
    <col min="1" max="1" width="27.5703125" style="246" customWidth="1"/>
    <col min="2" max="2" width="20.42578125" style="246" customWidth="1"/>
    <col min="3" max="3" width="31.85546875" style="246" customWidth="1"/>
    <col min="4" max="4" width="25.85546875" style="246" customWidth="1"/>
    <col min="5" max="5" width="25.7109375" style="246" customWidth="1"/>
    <col min="6" max="6" width="23.140625" style="246" customWidth="1"/>
    <col min="7" max="7" width="28.42578125" style="246" customWidth="1"/>
    <col min="8" max="8" width="21.5703125" style="246" customWidth="1"/>
    <col min="9" max="9" width="9.140625" style="246" customWidth="1"/>
    <col min="10" max="16384" width="9.140625" style="44"/>
  </cols>
  <sheetData>
    <row r="14" spans="1:6" ht="15" customHeight="1" x14ac:dyDescent="0.3">
      <c r="A14" s="76"/>
      <c r="C14" s="3"/>
      <c r="F14" s="3"/>
    </row>
    <row r="15" spans="1:6" ht="18.75" customHeight="1" x14ac:dyDescent="0.3">
      <c r="A15" s="312" t="s">
        <v>0</v>
      </c>
      <c r="B15" s="312"/>
      <c r="C15" s="312"/>
      <c r="D15" s="312"/>
      <c r="E15" s="312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8"/>
      <c r="D17" s="9"/>
      <c r="E17" s="36"/>
    </row>
    <row r="18" spans="1:5" ht="16.5" customHeight="1" x14ac:dyDescent="0.3">
      <c r="A18" s="11" t="s">
        <v>4</v>
      </c>
      <c r="B18" s="8" t="s">
        <v>130</v>
      </c>
      <c r="C18" s="36"/>
      <c r="D18" s="36"/>
      <c r="E18" s="36"/>
    </row>
    <row r="19" spans="1:5" ht="16.5" customHeight="1" x14ac:dyDescent="0.3">
      <c r="A19" s="11" t="s">
        <v>5</v>
      </c>
      <c r="B19" s="12" t="s">
        <v>129</v>
      </c>
      <c r="C19" s="36"/>
      <c r="D19" s="36"/>
      <c r="E19" s="36"/>
    </row>
    <row r="20" spans="1:5" ht="16.5" customHeight="1" x14ac:dyDescent="0.3">
      <c r="A20" s="8" t="s">
        <v>6</v>
      </c>
      <c r="B20" s="12" t="s">
        <v>7</v>
      </c>
      <c r="C20" s="36"/>
      <c r="D20" s="36"/>
      <c r="E20" s="36"/>
    </row>
    <row r="21" spans="1:5" ht="16.5" customHeight="1" x14ac:dyDescent="0.3">
      <c r="A21" s="8" t="s">
        <v>8</v>
      </c>
      <c r="B21" s="13" t="s">
        <v>9</v>
      </c>
      <c r="C21" s="36"/>
      <c r="D21" s="36"/>
      <c r="E21" s="36"/>
    </row>
    <row r="22" spans="1:5" ht="15.75" customHeight="1" x14ac:dyDescent="0.25">
      <c r="A22" s="36"/>
      <c r="B22" s="36" t="s">
        <v>10</v>
      </c>
      <c r="C22" s="36"/>
      <c r="D22" s="36"/>
      <c r="E22" s="36"/>
    </row>
    <row r="23" spans="1:5" ht="16.5" customHeight="1" x14ac:dyDescent="0.3">
      <c r="A23" s="16" t="s">
        <v>11</v>
      </c>
      <c r="B23" s="15" t="s">
        <v>12</v>
      </c>
      <c r="C23" s="16" t="s">
        <v>13</v>
      </c>
      <c r="D23" s="16" t="s">
        <v>14</v>
      </c>
      <c r="E23" s="16" t="s">
        <v>15</v>
      </c>
    </row>
    <row r="24" spans="1:5" ht="16.5" customHeight="1" x14ac:dyDescent="0.3">
      <c r="A24" s="17">
        <v>1</v>
      </c>
      <c r="B24" s="18">
        <v>37743328</v>
      </c>
      <c r="C24" s="18">
        <v>9837</v>
      </c>
      <c r="D24" s="19">
        <v>1.2</v>
      </c>
      <c r="E24" s="20">
        <v>4.0999999999999996</v>
      </c>
    </row>
    <row r="25" spans="1:5" ht="16.5" customHeight="1" x14ac:dyDescent="0.3">
      <c r="A25" s="17">
        <v>2</v>
      </c>
      <c r="B25" s="18">
        <v>37485658</v>
      </c>
      <c r="C25" s="18">
        <v>9804</v>
      </c>
      <c r="D25" s="19">
        <v>1.2</v>
      </c>
      <c r="E25" s="19">
        <v>4.0999999999999996</v>
      </c>
    </row>
    <row r="26" spans="1:5" ht="16.5" customHeight="1" x14ac:dyDescent="0.3">
      <c r="A26" s="17">
        <v>3</v>
      </c>
      <c r="B26" s="18">
        <v>37540537</v>
      </c>
      <c r="C26" s="18">
        <v>9856</v>
      </c>
      <c r="D26" s="19">
        <v>1.2</v>
      </c>
      <c r="E26" s="19">
        <v>4.0999999999999996</v>
      </c>
    </row>
    <row r="27" spans="1:5" ht="16.5" customHeight="1" x14ac:dyDescent="0.3">
      <c r="A27" s="17">
        <v>4</v>
      </c>
      <c r="B27" s="18">
        <v>37468212</v>
      </c>
      <c r="C27" s="18">
        <v>9813</v>
      </c>
      <c r="D27" s="19">
        <v>1.2</v>
      </c>
      <c r="E27" s="19">
        <v>4.0999999999999996</v>
      </c>
    </row>
    <row r="28" spans="1:5" ht="16.5" customHeight="1" x14ac:dyDescent="0.3">
      <c r="A28" s="17">
        <v>5</v>
      </c>
      <c r="B28" s="18">
        <v>37448129</v>
      </c>
      <c r="C28" s="18">
        <v>9804</v>
      </c>
      <c r="D28" s="19">
        <v>1.3</v>
      </c>
      <c r="E28" s="19">
        <v>4.0999999999999996</v>
      </c>
    </row>
    <row r="29" spans="1:5" ht="16.5" customHeight="1" x14ac:dyDescent="0.3">
      <c r="A29" s="17">
        <v>6</v>
      </c>
      <c r="B29" s="21">
        <v>37617445</v>
      </c>
      <c r="C29" s="21">
        <v>9842</v>
      </c>
      <c r="D29" s="22">
        <v>1.3</v>
      </c>
      <c r="E29" s="22">
        <v>4.0999999999999996</v>
      </c>
    </row>
    <row r="30" spans="1:5" ht="16.5" customHeight="1" x14ac:dyDescent="0.3">
      <c r="A30" s="23" t="s">
        <v>16</v>
      </c>
      <c r="B30" s="24">
        <f>AVERAGE(B24:B29)</f>
        <v>37550551.5</v>
      </c>
      <c r="C30" s="25">
        <f>AVERAGE(C24:C29)</f>
        <v>9826</v>
      </c>
      <c r="D30" s="26">
        <f>AVERAGE(D24:D29)</f>
        <v>1.2333333333333332</v>
      </c>
      <c r="E30" s="26">
        <f>AVERAGE(E24:E29)</f>
        <v>4.1000000000000005</v>
      </c>
    </row>
    <row r="31" spans="1:5" ht="16.5" customHeight="1" x14ac:dyDescent="0.3">
      <c r="A31" s="27" t="s">
        <v>17</v>
      </c>
      <c r="B31" s="28">
        <f>(STDEV(B24:B29)/B30)</f>
        <v>2.9944906517637175E-3</v>
      </c>
      <c r="C31" s="29"/>
      <c r="D31" s="29"/>
      <c r="E31" s="30"/>
    </row>
    <row r="32" spans="1:5" s="246" customFormat="1" ht="16.5" customHeight="1" x14ac:dyDescent="0.3">
      <c r="A32" s="31" t="s">
        <v>18</v>
      </c>
      <c r="B32" s="32">
        <f>COUNT(B24:B29)</f>
        <v>6</v>
      </c>
      <c r="C32" s="33"/>
      <c r="D32" s="34"/>
      <c r="E32" s="35"/>
    </row>
    <row r="33" spans="1:5" s="246" customFormat="1" ht="15.75" customHeight="1" x14ac:dyDescent="0.25">
      <c r="A33" s="36"/>
      <c r="B33" s="36"/>
      <c r="C33" s="36"/>
      <c r="D33" s="36"/>
      <c r="E33" s="36"/>
    </row>
    <row r="34" spans="1:5" s="246" customFormat="1" ht="16.5" customHeight="1" x14ac:dyDescent="0.3">
      <c r="A34" s="11" t="s">
        <v>19</v>
      </c>
      <c r="B34" s="40" t="s">
        <v>20</v>
      </c>
      <c r="C34" s="39"/>
      <c r="D34" s="39"/>
      <c r="E34" s="39"/>
    </row>
    <row r="35" spans="1:5" ht="16.5" customHeight="1" x14ac:dyDescent="0.3">
      <c r="A35" s="11"/>
      <c r="B35" s="40" t="s">
        <v>21</v>
      </c>
      <c r="C35" s="39"/>
      <c r="D35" s="39"/>
      <c r="E35" s="39"/>
    </row>
    <row r="36" spans="1:5" ht="16.5" customHeight="1" x14ac:dyDescent="0.3">
      <c r="A36" s="11"/>
      <c r="B36" s="40" t="s">
        <v>22</v>
      </c>
      <c r="C36" s="39"/>
      <c r="D36" s="39"/>
      <c r="E36" s="39"/>
    </row>
    <row r="37" spans="1:5" ht="15.75" customHeight="1" x14ac:dyDescent="0.25">
      <c r="A37" s="36"/>
      <c r="B37" s="36"/>
      <c r="C37" s="36"/>
      <c r="D37" s="36"/>
      <c r="E37" s="36"/>
    </row>
    <row r="38" spans="1:5" ht="16.5" customHeight="1" x14ac:dyDescent="0.3">
      <c r="A38" s="5" t="s">
        <v>1</v>
      </c>
      <c r="B38" s="6" t="s">
        <v>23</v>
      </c>
    </row>
    <row r="39" spans="1:5" ht="16.5" customHeight="1" x14ac:dyDescent="0.3">
      <c r="A39" s="11" t="s">
        <v>4</v>
      </c>
      <c r="B39" s="8"/>
      <c r="C39" s="36"/>
      <c r="D39" s="36"/>
      <c r="E39" s="36"/>
    </row>
    <row r="40" spans="1:5" ht="16.5" customHeight="1" x14ac:dyDescent="0.3">
      <c r="A40" s="11" t="s">
        <v>5</v>
      </c>
      <c r="B40" s="12"/>
      <c r="C40" s="36"/>
      <c r="D40" s="36"/>
      <c r="E40" s="36"/>
    </row>
    <row r="41" spans="1:5" ht="16.5" customHeight="1" x14ac:dyDescent="0.3">
      <c r="A41" s="8" t="s">
        <v>6</v>
      </c>
      <c r="B41" s="12"/>
      <c r="C41" s="36"/>
      <c r="D41" s="36"/>
      <c r="E41" s="36"/>
    </row>
    <row r="42" spans="1:5" ht="16.5" customHeight="1" x14ac:dyDescent="0.3">
      <c r="A42" s="8" t="s">
        <v>8</v>
      </c>
      <c r="B42" s="13"/>
      <c r="C42" s="36"/>
      <c r="D42" s="36"/>
      <c r="E42" s="36"/>
    </row>
    <row r="43" spans="1:5" ht="15.75" customHeight="1" x14ac:dyDescent="0.25">
      <c r="A43" s="36"/>
      <c r="B43" s="36"/>
      <c r="C43" s="36"/>
      <c r="D43" s="36"/>
      <c r="E43" s="36"/>
    </row>
    <row r="44" spans="1:5" ht="16.5" customHeight="1" x14ac:dyDescent="0.3">
      <c r="A44" s="16" t="s">
        <v>11</v>
      </c>
      <c r="B44" s="15" t="s">
        <v>12</v>
      </c>
      <c r="C44" s="16" t="s">
        <v>13</v>
      </c>
      <c r="D44" s="16" t="s">
        <v>14</v>
      </c>
      <c r="E44" s="16" t="s">
        <v>15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16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17</v>
      </c>
      <c r="B52" s="28" t="e">
        <f>(STDEV(B45:B50)/B51)</f>
        <v>#DIV/0!</v>
      </c>
      <c r="C52" s="29"/>
      <c r="D52" s="29"/>
      <c r="E52" s="30"/>
    </row>
    <row r="53" spans="1:7" s="246" customFormat="1" ht="16.5" customHeight="1" x14ac:dyDescent="0.3">
      <c r="A53" s="31" t="s">
        <v>18</v>
      </c>
      <c r="B53" s="32">
        <f>COUNT(B45:B50)</f>
        <v>0</v>
      </c>
      <c r="C53" s="33"/>
      <c r="D53" s="34"/>
      <c r="E53" s="35"/>
    </row>
    <row r="54" spans="1:7" s="246" customFormat="1" ht="15.75" customHeight="1" x14ac:dyDescent="0.25">
      <c r="A54" s="36"/>
      <c r="B54" s="36"/>
      <c r="C54" s="36"/>
      <c r="D54" s="36"/>
      <c r="E54" s="36"/>
    </row>
    <row r="55" spans="1:7" s="246" customFormat="1" ht="16.5" customHeight="1" x14ac:dyDescent="0.3">
      <c r="A55" s="11" t="s">
        <v>19</v>
      </c>
      <c r="B55" s="40" t="s">
        <v>20</v>
      </c>
      <c r="C55" s="39"/>
      <c r="D55" s="39"/>
      <c r="E55" s="39"/>
    </row>
    <row r="56" spans="1:7" ht="16.5" customHeight="1" x14ac:dyDescent="0.3">
      <c r="A56" s="11"/>
      <c r="B56" s="40" t="s">
        <v>21</v>
      </c>
      <c r="C56" s="39"/>
      <c r="D56" s="39"/>
      <c r="E56" s="39"/>
    </row>
    <row r="57" spans="1:7" ht="16.5" customHeight="1" x14ac:dyDescent="0.3">
      <c r="A57" s="11"/>
      <c r="B57" s="40" t="s">
        <v>22</v>
      </c>
      <c r="C57" s="39"/>
      <c r="D57" s="39"/>
      <c r="E57" s="39"/>
    </row>
    <row r="58" spans="1:7" ht="14.25" customHeight="1" thickBot="1" x14ac:dyDescent="0.3">
      <c r="A58" s="110"/>
      <c r="B58" s="171"/>
      <c r="D58" s="43"/>
      <c r="F58" s="44"/>
      <c r="G58" s="44"/>
    </row>
    <row r="59" spans="1:7" ht="15" customHeight="1" x14ac:dyDescent="0.3">
      <c r="B59" s="313" t="s">
        <v>24</v>
      </c>
      <c r="C59" s="313"/>
      <c r="E59" s="299" t="s">
        <v>25</v>
      </c>
      <c r="F59" s="113"/>
      <c r="G59" s="299" t="s">
        <v>26</v>
      </c>
    </row>
    <row r="60" spans="1:7" ht="15" customHeight="1" x14ac:dyDescent="0.3">
      <c r="A60" s="300" t="s">
        <v>27</v>
      </c>
      <c r="B60" s="116"/>
      <c r="C60" s="116"/>
      <c r="E60" s="116"/>
      <c r="G60" s="116"/>
    </row>
    <row r="61" spans="1:7" ht="15" customHeight="1" x14ac:dyDescent="0.3">
      <c r="A61" s="300" t="s">
        <v>28</v>
      </c>
      <c r="B61" s="117"/>
      <c r="C61" s="117"/>
      <c r="E61" s="117"/>
      <c r="G61" s="11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workbookViewId="0">
      <selection activeCell="C26" sqref="C26"/>
    </sheetView>
  </sheetViews>
  <sheetFormatPr defaultColWidth="9.140625" defaultRowHeight="16.5" x14ac:dyDescent="0.3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76" customWidth="1"/>
    <col min="7" max="7" width="17.140625" style="76" customWidth="1"/>
    <col min="8" max="8" width="13.140625" style="76" customWidth="1"/>
    <col min="9" max="9" width="11" style="76" customWidth="1"/>
    <col min="10" max="10" width="15" style="76" customWidth="1"/>
    <col min="11" max="11" width="7.5703125" style="76" customWidth="1"/>
    <col min="12" max="12" width="13.140625" style="76" customWidth="1"/>
    <col min="13" max="13" width="11" style="76" customWidth="1"/>
    <col min="14" max="14" width="12.28515625" style="76" customWidth="1"/>
    <col min="15" max="15" width="6.5703125" style="76" customWidth="1"/>
    <col min="16" max="16" width="9.140625" style="76"/>
    <col min="17" max="16384" width="9.140625" style="44"/>
  </cols>
  <sheetData>
    <row r="1" spans="1:15" ht="15" x14ac:dyDescent="0.3">
      <c r="A1" s="246"/>
      <c r="B1" s="171"/>
      <c r="C1" s="246"/>
      <c r="D1" s="69"/>
      <c r="E1" s="70"/>
      <c r="F1" s="171"/>
      <c r="G1" s="70"/>
      <c r="H1" s="70"/>
      <c r="I1" s="171"/>
      <c r="J1" s="70"/>
      <c r="K1" s="61"/>
      <c r="L1" s="70"/>
      <c r="M1" s="171"/>
      <c r="N1" s="70"/>
      <c r="O1" s="171"/>
    </row>
    <row r="2" spans="1:15" ht="15" x14ac:dyDescent="0.3">
      <c r="A2" s="246"/>
      <c r="B2" s="171"/>
      <c r="C2" s="246"/>
      <c r="D2" s="69"/>
      <c r="E2" s="254"/>
      <c r="F2" s="171"/>
      <c r="G2" s="254"/>
      <c r="H2" s="254"/>
      <c r="I2" s="171"/>
      <c r="J2" s="254"/>
      <c r="K2" s="61"/>
      <c r="L2" s="254"/>
      <c r="M2" s="61"/>
      <c r="N2" s="254"/>
      <c r="O2" s="61"/>
    </row>
    <row r="3" spans="1:15" ht="15" x14ac:dyDescent="0.3">
      <c r="A3" s="246"/>
      <c r="B3" s="171"/>
      <c r="C3" s="246"/>
      <c r="D3" s="69"/>
      <c r="E3" s="254"/>
      <c r="F3" s="171"/>
      <c r="G3" s="254"/>
      <c r="H3" s="254"/>
      <c r="I3" s="171"/>
      <c r="J3" s="254"/>
      <c r="K3" s="61"/>
      <c r="L3" s="254"/>
      <c r="M3" s="61"/>
      <c r="N3" s="254"/>
      <c r="O3" s="61"/>
    </row>
    <row r="4" spans="1:15" ht="15" x14ac:dyDescent="0.3">
      <c r="A4" s="246"/>
      <c r="B4" s="171"/>
      <c r="C4" s="246"/>
      <c r="D4" s="69"/>
      <c r="E4" s="254"/>
      <c r="F4" s="171"/>
      <c r="G4" s="254"/>
      <c r="H4" s="254"/>
      <c r="I4" s="171"/>
      <c r="J4" s="254"/>
      <c r="K4" s="61"/>
      <c r="L4" s="254"/>
      <c r="M4" s="61"/>
      <c r="N4" s="254"/>
      <c r="O4" s="61"/>
    </row>
    <row r="5" spans="1:15" ht="15" x14ac:dyDescent="0.3">
      <c r="A5" s="246"/>
      <c r="B5" s="171"/>
      <c r="C5" s="246"/>
      <c r="D5" s="69"/>
      <c r="E5" s="254"/>
      <c r="F5" s="171"/>
      <c r="G5" s="254"/>
      <c r="H5" s="254"/>
      <c r="I5" s="171"/>
      <c r="J5" s="254"/>
      <c r="K5" s="61"/>
      <c r="L5" s="254"/>
      <c r="M5" s="61"/>
      <c r="N5" s="254"/>
      <c r="O5" s="61"/>
    </row>
    <row r="6" spans="1:15" ht="15" x14ac:dyDescent="0.3">
      <c r="A6" s="246"/>
      <c r="B6" s="171"/>
      <c r="C6" s="246"/>
      <c r="D6" s="69"/>
      <c r="E6" s="254"/>
      <c r="F6" s="171"/>
      <c r="G6" s="254"/>
      <c r="H6" s="254"/>
      <c r="I6" s="171"/>
      <c r="J6" s="254"/>
      <c r="K6" s="61"/>
      <c r="L6" s="254"/>
      <c r="M6" s="61"/>
      <c r="N6" s="254"/>
      <c r="O6" s="61"/>
    </row>
    <row r="7" spans="1:15" ht="15" x14ac:dyDescent="0.3">
      <c r="A7" s="246"/>
      <c r="B7" s="171"/>
      <c r="C7" s="246"/>
      <c r="D7" s="69"/>
      <c r="E7" s="254"/>
      <c r="F7" s="171"/>
      <c r="G7" s="254"/>
      <c r="H7" s="254"/>
      <c r="I7" s="171"/>
      <c r="J7" s="254"/>
      <c r="K7" s="61"/>
      <c r="L7" s="254"/>
      <c r="M7" s="61"/>
      <c r="N7" s="254"/>
      <c r="O7" s="61"/>
    </row>
    <row r="8" spans="1:15" ht="19.5" customHeight="1" x14ac:dyDescent="0.3">
      <c r="A8" s="316" t="s">
        <v>29</v>
      </c>
      <c r="B8" s="316"/>
      <c r="C8" s="316"/>
      <c r="D8" s="316"/>
      <c r="E8" s="316"/>
      <c r="F8" s="316"/>
      <c r="G8" s="316"/>
      <c r="H8" s="254"/>
      <c r="I8" s="171"/>
      <c r="J8" s="254"/>
      <c r="K8" s="61"/>
      <c r="L8" s="254"/>
      <c r="M8" s="61"/>
      <c r="N8" s="254"/>
      <c r="O8" s="61"/>
    </row>
    <row r="9" spans="1:15" ht="19.5" customHeight="1" x14ac:dyDescent="0.3">
      <c r="A9" s="301"/>
      <c r="B9" s="301"/>
      <c r="C9" s="301"/>
      <c r="D9" s="301"/>
      <c r="E9" s="301"/>
      <c r="F9" s="301"/>
      <c r="G9" s="301"/>
      <c r="H9" s="254"/>
      <c r="I9" s="171"/>
      <c r="J9" s="254"/>
      <c r="K9" s="61"/>
      <c r="L9" s="254"/>
      <c r="M9" s="61"/>
      <c r="N9" s="254"/>
      <c r="O9" s="61"/>
    </row>
    <row r="10" spans="1:15" ht="16.5" customHeight="1" x14ac:dyDescent="0.3">
      <c r="A10" s="317" t="s">
        <v>30</v>
      </c>
      <c r="B10" s="317"/>
      <c r="C10" s="317"/>
      <c r="D10" s="317"/>
      <c r="E10" s="317"/>
      <c r="F10" s="317"/>
      <c r="G10" s="317"/>
      <c r="H10" s="254"/>
      <c r="I10" s="171"/>
      <c r="J10" s="254"/>
      <c r="K10" s="61"/>
      <c r="L10" s="254"/>
      <c r="M10" s="61"/>
      <c r="N10" s="254"/>
      <c r="O10" s="61"/>
    </row>
    <row r="11" spans="1:15" ht="15" customHeight="1" x14ac:dyDescent="0.3">
      <c r="A11" s="314" t="s">
        <v>31</v>
      </c>
      <c r="B11" s="314"/>
      <c r="C11" s="246" t="s">
        <v>131</v>
      </c>
      <c r="E11" s="254"/>
      <c r="F11" s="171"/>
      <c r="G11" s="254"/>
      <c r="H11" s="254"/>
      <c r="I11" s="171"/>
      <c r="J11" s="254"/>
      <c r="K11" s="61"/>
      <c r="L11" s="254"/>
      <c r="M11" s="61"/>
      <c r="N11" s="254"/>
      <c r="O11" s="61"/>
    </row>
    <row r="12" spans="1:15" ht="15" customHeight="1" x14ac:dyDescent="0.3">
      <c r="A12" s="314" t="s">
        <v>32</v>
      </c>
      <c r="B12" s="314"/>
      <c r="C12" s="246" t="s">
        <v>138</v>
      </c>
      <c r="E12" s="254"/>
      <c r="F12" s="171"/>
      <c r="G12" s="254"/>
      <c r="H12" s="254"/>
      <c r="I12" s="171"/>
      <c r="J12" s="254"/>
      <c r="K12" s="61"/>
      <c r="L12" s="254"/>
      <c r="M12" s="61"/>
      <c r="N12" s="254"/>
      <c r="O12" s="61"/>
    </row>
    <row r="13" spans="1:15" ht="15" customHeight="1" x14ac:dyDescent="0.3">
      <c r="A13" s="314" t="s">
        <v>33</v>
      </c>
      <c r="B13" s="314"/>
      <c r="C13" s="246" t="s">
        <v>7</v>
      </c>
      <c r="E13" s="254"/>
      <c r="F13" s="171"/>
      <c r="G13" s="254"/>
      <c r="H13" s="254"/>
      <c r="I13" s="171"/>
      <c r="J13" s="254"/>
      <c r="K13" s="61"/>
      <c r="L13" s="254"/>
      <c r="M13" s="61"/>
      <c r="N13" s="254"/>
      <c r="O13" s="61"/>
    </row>
    <row r="14" spans="1:15" ht="15" customHeight="1" x14ac:dyDescent="0.3">
      <c r="A14" s="314" t="s">
        <v>34</v>
      </c>
      <c r="B14" s="314"/>
      <c r="C14" s="315" t="s">
        <v>132</v>
      </c>
      <c r="D14" s="315"/>
      <c r="E14" s="315"/>
      <c r="F14" s="315"/>
      <c r="G14" s="315"/>
      <c r="H14" s="254"/>
      <c r="I14" s="171"/>
      <c r="J14" s="254"/>
      <c r="K14" s="61"/>
      <c r="L14" s="254"/>
      <c r="M14" s="61"/>
      <c r="N14" s="254"/>
      <c r="O14" s="61"/>
    </row>
    <row r="15" spans="1:15" ht="15" customHeight="1" x14ac:dyDescent="0.3">
      <c r="A15" s="314" t="s">
        <v>35</v>
      </c>
      <c r="B15" s="314"/>
      <c r="C15" s="74" t="s">
        <v>10</v>
      </c>
      <c r="D15" s="246"/>
      <c r="E15" s="254"/>
      <c r="F15" s="171"/>
      <c r="G15" s="254"/>
      <c r="H15" s="254"/>
      <c r="I15" s="171"/>
      <c r="J15" s="254"/>
      <c r="K15" s="61"/>
      <c r="L15" s="254"/>
      <c r="M15" s="61"/>
      <c r="N15" s="254"/>
      <c r="O15" s="61"/>
    </row>
    <row r="16" spans="1:15" ht="15" customHeight="1" x14ac:dyDescent="0.3">
      <c r="A16" s="314" t="s">
        <v>36</v>
      </c>
      <c r="B16" s="314"/>
      <c r="C16" s="74" t="s">
        <v>37</v>
      </c>
      <c r="D16" s="246"/>
      <c r="E16" s="254"/>
      <c r="F16" s="171"/>
      <c r="G16" s="254"/>
      <c r="H16" s="254"/>
      <c r="I16" s="171"/>
      <c r="J16" s="254"/>
      <c r="K16" s="61"/>
      <c r="L16" s="254"/>
      <c r="M16" s="61"/>
      <c r="N16" s="254"/>
      <c r="O16" s="61"/>
    </row>
    <row r="17" spans="1:15" x14ac:dyDescent="0.3">
      <c r="B17" s="246"/>
      <c r="D17" s="246"/>
      <c r="E17" s="254"/>
      <c r="F17" s="171"/>
      <c r="G17" s="254"/>
      <c r="H17" s="254"/>
      <c r="I17" s="171"/>
      <c r="J17" s="254"/>
      <c r="K17" s="61"/>
      <c r="L17" s="254"/>
      <c r="M17" s="61"/>
      <c r="N17" s="254"/>
      <c r="O17" s="61"/>
    </row>
    <row r="18" spans="1:15" ht="15" customHeight="1" x14ac:dyDescent="0.3">
      <c r="A18" s="318" t="s">
        <v>1</v>
      </c>
      <c r="B18" s="318"/>
      <c r="C18" s="75" t="s">
        <v>38</v>
      </c>
      <c r="D18" s="246"/>
      <c r="E18" s="254"/>
      <c r="F18" s="171"/>
      <c r="G18" s="254"/>
      <c r="H18" s="254"/>
      <c r="I18" s="171"/>
      <c r="J18" s="254"/>
      <c r="K18" s="61"/>
      <c r="L18" s="254"/>
      <c r="M18" s="61"/>
      <c r="N18" s="254"/>
      <c r="O18" s="61"/>
    </row>
    <row r="19" spans="1:15" ht="15.75" customHeight="1" thickBot="1" x14ac:dyDescent="0.35">
      <c r="A19" s="76"/>
      <c r="B19" s="246"/>
      <c r="D19" s="246"/>
      <c r="E19" s="254"/>
      <c r="F19" s="171"/>
      <c r="G19" s="254"/>
      <c r="H19" s="254"/>
      <c r="I19" s="171"/>
      <c r="J19" s="254"/>
      <c r="K19" s="61"/>
      <c r="L19" s="254"/>
      <c r="M19" s="61"/>
      <c r="N19" s="254"/>
      <c r="O19" s="61"/>
    </row>
    <row r="20" spans="1:15" ht="15.75" customHeight="1" thickBot="1" x14ac:dyDescent="0.35">
      <c r="A20" s="77" t="s">
        <v>39</v>
      </c>
      <c r="B20" s="78" t="s">
        <v>40</v>
      </c>
      <c r="C20" s="79"/>
      <c r="D20" s="77" t="s">
        <v>42</v>
      </c>
      <c r="E20" s="80" t="s">
        <v>43</v>
      </c>
      <c r="G20" s="254"/>
      <c r="H20" s="62"/>
      <c r="I20" s="171"/>
      <c r="J20" s="2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82">
        <v>1141.05</v>
      </c>
      <c r="C21" s="83"/>
      <c r="D21" s="84">
        <f>B21-C21</f>
        <v>1141.05</v>
      </c>
      <c r="E21" s="85">
        <f t="shared" ref="E21:E40" si="0">(D21-$D$43)/$D$43</f>
        <v>2.0451053585194692E-2</v>
      </c>
      <c r="G21" s="254"/>
      <c r="H21" s="62"/>
      <c r="I21" s="171"/>
      <c r="J21" s="254"/>
      <c r="K21" s="61"/>
      <c r="L21" s="62"/>
      <c r="M21" s="61"/>
      <c r="N21" s="62"/>
      <c r="O21" s="61"/>
    </row>
    <row r="22" spans="1:15" ht="15" x14ac:dyDescent="0.3">
      <c r="A22" s="86">
        <v>2</v>
      </c>
      <c r="B22" s="87">
        <v>1113.74</v>
      </c>
      <c r="C22" s="88"/>
      <c r="D22" s="89">
        <f>B22-C22</f>
        <v>1113.74</v>
      </c>
      <c r="E22" s="85">
        <f t="shared" si="0"/>
        <v>-3.9725196792648968E-3</v>
      </c>
      <c r="G22" s="254"/>
      <c r="H22" s="62"/>
      <c r="I22" s="171"/>
      <c r="J22" s="254"/>
      <c r="K22" s="61"/>
      <c r="L22" s="62"/>
      <c r="M22" s="61"/>
      <c r="N22" s="62"/>
      <c r="O22" s="61"/>
    </row>
    <row r="23" spans="1:15" ht="15" x14ac:dyDescent="0.3">
      <c r="A23" s="86">
        <v>3</v>
      </c>
      <c r="B23" s="87">
        <v>1100.02</v>
      </c>
      <c r="C23" s="88"/>
      <c r="D23" s="89">
        <f>B23-C23</f>
        <v>1100.02</v>
      </c>
      <c r="E23" s="85">
        <f t="shared" si="0"/>
        <v>-1.6242436383343509E-2</v>
      </c>
      <c r="G23" s="254"/>
      <c r="H23" s="62"/>
      <c r="I23" s="171"/>
      <c r="J23" s="254"/>
      <c r="K23" s="61"/>
      <c r="L23" s="62"/>
      <c r="M23" s="61"/>
      <c r="N23" s="62"/>
      <c r="O23" s="61"/>
    </row>
    <row r="24" spans="1:15" ht="15" x14ac:dyDescent="0.3">
      <c r="A24" s="86">
        <v>4</v>
      </c>
      <c r="B24" s="87">
        <v>1124.8</v>
      </c>
      <c r="C24" s="88"/>
      <c r="D24" s="89">
        <f>B24-C24</f>
        <v>1124.8</v>
      </c>
      <c r="E24" s="85">
        <f t="shared" si="0"/>
        <v>5.9185356230024872E-3</v>
      </c>
      <c r="G24" s="254"/>
      <c r="H24" s="62"/>
      <c r="I24" s="171"/>
      <c r="J24" s="254"/>
      <c r="K24" s="61"/>
      <c r="L24" s="62"/>
      <c r="M24" s="61"/>
      <c r="N24" s="62"/>
      <c r="O24" s="61"/>
    </row>
    <row r="25" spans="1:15" ht="15" x14ac:dyDescent="0.3">
      <c r="A25" s="86">
        <v>5</v>
      </c>
      <c r="B25" s="87">
        <v>1105.4000000000001</v>
      </c>
      <c r="C25" s="88"/>
      <c r="D25" s="89">
        <f>B25-C25</f>
        <v>1105.4000000000001</v>
      </c>
      <c r="E25" s="85">
        <f t="shared" si="0"/>
        <v>-1.1431055051860699E-2</v>
      </c>
      <c r="G25" s="254"/>
      <c r="H25" s="62"/>
      <c r="I25" s="171"/>
      <c r="J25" s="254"/>
      <c r="K25" s="61"/>
      <c r="L25" s="62"/>
      <c r="M25" s="61"/>
      <c r="N25" s="62"/>
      <c r="O25" s="61"/>
    </row>
    <row r="26" spans="1:15" ht="15" x14ac:dyDescent="0.3">
      <c r="A26" s="86">
        <v>6</v>
      </c>
      <c r="B26" s="87">
        <v>1109.1500000000001</v>
      </c>
      <c r="C26" s="88"/>
      <c r="D26" s="89">
        <f>B26-C26</f>
        <v>1109.1500000000001</v>
      </c>
      <c r="E26" s="85">
        <f t="shared" si="0"/>
        <v>-8.0773970605855748E-3</v>
      </c>
      <c r="G26" s="254"/>
      <c r="H26" s="62"/>
      <c r="I26" s="171"/>
      <c r="J26" s="254"/>
      <c r="K26" s="61"/>
      <c r="L26" s="62"/>
      <c r="M26" s="61"/>
      <c r="N26" s="62"/>
      <c r="O26" s="61"/>
    </row>
    <row r="27" spans="1:15" ht="15" x14ac:dyDescent="0.3">
      <c r="A27" s="86">
        <v>7</v>
      </c>
      <c r="B27" s="87">
        <v>1124.8499999999999</v>
      </c>
      <c r="C27" s="88"/>
      <c r="D27" s="89">
        <f>B27-C27</f>
        <v>1124.8499999999999</v>
      </c>
      <c r="E27" s="85">
        <f t="shared" si="0"/>
        <v>5.9632510628861149E-3</v>
      </c>
      <c r="G27" s="254"/>
      <c r="H27" s="62"/>
      <c r="I27" s="171"/>
      <c r="J27" s="254"/>
      <c r="K27" s="61"/>
      <c r="L27" s="62"/>
      <c r="M27" s="61"/>
      <c r="N27" s="62"/>
      <c r="O27" s="61"/>
    </row>
    <row r="28" spans="1:15" ht="15" x14ac:dyDescent="0.3">
      <c r="A28" s="86">
        <v>8</v>
      </c>
      <c r="B28" s="87">
        <v>1122.1500000000001</v>
      </c>
      <c r="C28" s="88"/>
      <c r="D28" s="89">
        <f>B28-C28</f>
        <v>1122.1500000000001</v>
      </c>
      <c r="E28" s="85">
        <f t="shared" si="0"/>
        <v>3.548617309168188E-3</v>
      </c>
      <c r="G28" s="254"/>
      <c r="H28" s="62"/>
      <c r="I28" s="171"/>
      <c r="J28" s="254"/>
      <c r="K28" s="61"/>
      <c r="L28" s="62"/>
      <c r="M28" s="61"/>
      <c r="N28" s="62"/>
      <c r="O28" s="61"/>
    </row>
    <row r="29" spans="1:15" ht="15" x14ac:dyDescent="0.3">
      <c r="A29" s="86">
        <v>9</v>
      </c>
      <c r="B29" s="87">
        <v>1126.8599999999999</v>
      </c>
      <c r="C29" s="88"/>
      <c r="D29" s="89">
        <f>B29-C29</f>
        <v>1126.8599999999999</v>
      </c>
      <c r="E29" s="85">
        <f t="shared" si="0"/>
        <v>7.7608117462095727E-3</v>
      </c>
      <c r="G29" s="254"/>
      <c r="H29" s="62"/>
      <c r="I29" s="171"/>
      <c r="J29" s="254"/>
      <c r="K29" s="61"/>
      <c r="L29" s="62"/>
      <c r="M29" s="61"/>
      <c r="N29" s="62"/>
      <c r="O29" s="61"/>
    </row>
    <row r="30" spans="1:15" ht="15" x14ac:dyDescent="0.3">
      <c r="A30" s="86">
        <v>10</v>
      </c>
      <c r="B30" s="90">
        <v>1111.82</v>
      </c>
      <c r="C30" s="88"/>
      <c r="D30" s="89">
        <f>B30-C30</f>
        <v>1111.82</v>
      </c>
      <c r="E30" s="85">
        <f t="shared" si="0"/>
        <v>-5.6895925707978251E-3</v>
      </c>
      <c r="G30" s="254"/>
      <c r="H30" s="62"/>
      <c r="I30" s="171"/>
      <c r="J30" s="254"/>
      <c r="K30" s="61"/>
      <c r="L30" s="62"/>
      <c r="M30" s="61"/>
      <c r="N30" s="62"/>
      <c r="O30" s="61"/>
    </row>
    <row r="31" spans="1:15" ht="15" x14ac:dyDescent="0.3">
      <c r="A31" s="86">
        <v>11</v>
      </c>
      <c r="B31" s="90">
        <v>1122.22</v>
      </c>
      <c r="C31" s="88"/>
      <c r="D31" s="89">
        <f>B31-C31</f>
        <v>1122.22</v>
      </c>
      <c r="E31" s="85">
        <f>(D31-$D$43)/$D$43</f>
        <v>3.6112189250052666E-3</v>
      </c>
      <c r="G31" s="55"/>
      <c r="H31" s="55"/>
      <c r="I31" s="55"/>
      <c r="J31" s="55"/>
      <c r="K31" s="61"/>
      <c r="L31" s="55"/>
      <c r="M31" s="61"/>
      <c r="N31" s="55"/>
      <c r="O31" s="61"/>
    </row>
    <row r="32" spans="1:15" ht="15" x14ac:dyDescent="0.3">
      <c r="A32" s="86">
        <v>12</v>
      </c>
      <c r="B32" s="90">
        <v>1109.04</v>
      </c>
      <c r="C32" s="88"/>
      <c r="D32" s="89">
        <f>B32-C32</f>
        <v>1109.04</v>
      </c>
      <c r="E32" s="85">
        <f t="shared" si="0"/>
        <v>-8.1757710283297588E-3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6">
        <v>13</v>
      </c>
      <c r="B33" s="90">
        <v>1125.32</v>
      </c>
      <c r="C33" s="88"/>
      <c r="D33" s="89">
        <f>B33-C33</f>
        <v>1125.32</v>
      </c>
      <c r="E33" s="85">
        <f t="shared" si="0"/>
        <v>6.383576197792621E-3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6">
        <v>14</v>
      </c>
      <c r="B34" s="90">
        <v>1126.67</v>
      </c>
      <c r="C34" s="88"/>
      <c r="D34" s="89">
        <f>B34-C34</f>
        <v>1126.67</v>
      </c>
      <c r="E34" s="85">
        <f t="shared" si="0"/>
        <v>7.5908930746517878E-3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6">
        <v>15</v>
      </c>
      <c r="B35" s="90">
        <v>1113.0999999999999</v>
      </c>
      <c r="C35" s="88"/>
      <c r="D35" s="89">
        <f>B35-C35</f>
        <v>1113.0999999999999</v>
      </c>
      <c r="E35" s="85">
        <f t="shared" si="0"/>
        <v>-4.5448773097759403E-3</v>
      </c>
      <c r="G35" s="59"/>
      <c r="J35" s="59"/>
      <c r="K35" s="65"/>
      <c r="L35" s="60"/>
      <c r="N35" s="60"/>
    </row>
    <row r="36" spans="1:15" ht="15" x14ac:dyDescent="0.3">
      <c r="A36" s="86">
        <v>16</v>
      </c>
      <c r="B36" s="90">
        <v>1100.73</v>
      </c>
      <c r="C36" s="88"/>
      <c r="D36" s="89">
        <f>B36-C36</f>
        <v>1100.73</v>
      </c>
      <c r="E36" s="85">
        <f t="shared" si="0"/>
        <v>-1.5607477136995385E-2</v>
      </c>
      <c r="G36" s="66"/>
      <c r="H36" s="66"/>
    </row>
    <row r="37" spans="1:15" ht="15" x14ac:dyDescent="0.3">
      <c r="A37" s="86">
        <v>17</v>
      </c>
      <c r="B37" s="90">
        <v>1105.29</v>
      </c>
      <c r="C37" s="88"/>
      <c r="D37" s="89">
        <f>B37-C37</f>
        <v>1105.29</v>
      </c>
      <c r="E37" s="85">
        <f t="shared" si="0"/>
        <v>-1.1529429019604883E-2</v>
      </c>
    </row>
    <row r="38" spans="1:15" ht="15" x14ac:dyDescent="0.3">
      <c r="A38" s="86">
        <v>18</v>
      </c>
      <c r="B38" s="90">
        <v>1140.5999999999999</v>
      </c>
      <c r="C38" s="88"/>
      <c r="D38" s="89">
        <f>B38-C38</f>
        <v>1140.5999999999999</v>
      </c>
      <c r="E38" s="85">
        <f t="shared" si="0"/>
        <v>2.0048614626241634E-2</v>
      </c>
    </row>
    <row r="39" spans="1:15" ht="15" x14ac:dyDescent="0.3">
      <c r="A39" s="86">
        <v>19</v>
      </c>
      <c r="B39" s="90">
        <v>1111.53</v>
      </c>
      <c r="C39" s="88"/>
      <c r="D39" s="89">
        <f>B39-C39</f>
        <v>1111.53</v>
      </c>
      <c r="E39" s="85">
        <f t="shared" si="0"/>
        <v>-5.9489421221230691E-3</v>
      </c>
    </row>
    <row r="40" spans="1:15" ht="14.25" customHeight="1" thickBot="1" x14ac:dyDescent="0.35">
      <c r="A40" s="91">
        <v>20</v>
      </c>
      <c r="B40" s="92">
        <v>1129.3</v>
      </c>
      <c r="C40" s="93"/>
      <c r="D40" s="94">
        <f>B40-C40</f>
        <v>1129.3</v>
      </c>
      <c r="E40" s="95">
        <f t="shared" si="0"/>
        <v>9.9429252125326356E-3</v>
      </c>
    </row>
    <row r="41" spans="1:15" ht="14.25" customHeight="1" thickBot="1" x14ac:dyDescent="0.35">
      <c r="B41" s="246"/>
      <c r="D41" s="61"/>
      <c r="G41" s="254"/>
    </row>
    <row r="42" spans="1:15" x14ac:dyDescent="0.3">
      <c r="A42" s="96" t="s">
        <v>44</v>
      </c>
      <c r="B42" s="97">
        <f>SUM(B21:B40)</f>
        <v>22363.639999999996</v>
      </c>
      <c r="C42" s="98">
        <f>SUM(C21:C40)</f>
        <v>0</v>
      </c>
      <c r="D42" s="99">
        <f>SUM(D21:D40)</f>
        <v>22363.639999999996</v>
      </c>
    </row>
    <row r="43" spans="1:15" ht="15.75" customHeight="1" thickBot="1" x14ac:dyDescent="0.35">
      <c r="A43" s="100" t="s">
        <v>45</v>
      </c>
      <c r="B43" s="101">
        <f>AVERAGE(B21:B40)</f>
        <v>1118.1819999999998</v>
      </c>
      <c r="C43" s="102" t="e">
        <f>AVERAGE(C21:C40)</f>
        <v>#DIV/0!</v>
      </c>
      <c r="D43" s="103">
        <f>AVERAGE(D21:D40)</f>
        <v>1118.1819999999998</v>
      </c>
    </row>
    <row r="44" spans="1:15" x14ac:dyDescent="0.3">
      <c r="A44" s="246"/>
      <c r="B44" s="104"/>
      <c r="C44" s="104"/>
      <c r="D44" s="246"/>
    </row>
    <row r="45" spans="1:15" ht="14.25" customHeight="1" thickBot="1" x14ac:dyDescent="0.35">
      <c r="A45" s="246"/>
      <c r="B45" s="246"/>
      <c r="C45" s="246"/>
      <c r="D45" s="246"/>
    </row>
    <row r="46" spans="1:15" ht="30.75" customHeight="1" thickBot="1" x14ac:dyDescent="0.35">
      <c r="B46" s="105" t="s">
        <v>45</v>
      </c>
      <c r="C46" s="106" t="s">
        <v>46</v>
      </c>
    </row>
    <row r="47" spans="1:15" ht="15.75" customHeight="1" thickBot="1" x14ac:dyDescent="0.35">
      <c r="B47" s="319">
        <f>D43</f>
        <v>1118.1819999999998</v>
      </c>
      <c r="C47" s="107">
        <f>-(IF(D43&gt;300, 7.5%, 10%))</f>
        <v>-7.4999999999999997E-2</v>
      </c>
      <c r="D47" s="108">
        <f>IF(D43&lt;300, D43*0.9, D43*0.925)</f>
        <v>1034.3183499999998</v>
      </c>
    </row>
    <row r="48" spans="1:15" ht="15.75" customHeight="1" thickBot="1" x14ac:dyDescent="0.35">
      <c r="B48" s="320"/>
      <c r="C48" s="109">
        <f>+(IF(D43&gt;300, 7.5%, 10%))</f>
        <v>7.4999999999999997E-2</v>
      </c>
      <c r="D48" s="108">
        <f>IF(D43&lt;300, D43*1.1, D43*1.075)</f>
        <v>1202.0456499999998</v>
      </c>
    </row>
    <row r="49" spans="1:7" ht="14.25" customHeight="1" thickBot="1" x14ac:dyDescent="0.35">
      <c r="A49" s="110"/>
      <c r="D49" s="111"/>
    </row>
    <row r="50" spans="1:7" ht="15" customHeight="1" x14ac:dyDescent="0.3">
      <c r="B50" s="313" t="s">
        <v>24</v>
      </c>
      <c r="C50" s="313"/>
      <c r="D50" s="246"/>
      <c r="E50" s="299" t="s">
        <v>25</v>
      </c>
      <c r="F50" s="113"/>
      <c r="G50" s="299" t="s">
        <v>26</v>
      </c>
    </row>
    <row r="51" spans="1:7" ht="15" customHeight="1" x14ac:dyDescent="0.3">
      <c r="A51" s="300" t="s">
        <v>27</v>
      </c>
      <c r="B51" s="116"/>
      <c r="C51" s="116"/>
      <c r="D51" s="246"/>
      <c r="E51" s="116"/>
      <c r="F51" s="246"/>
      <c r="G51" s="116"/>
    </row>
    <row r="52" spans="1:7" ht="15" customHeight="1" x14ac:dyDescent="0.3">
      <c r="A52" s="300" t="s">
        <v>28</v>
      </c>
      <c r="B52" s="117"/>
      <c r="C52" s="117"/>
      <c r="D52" s="246"/>
      <c r="E52" s="117"/>
      <c r="F52" s="246"/>
      <c r="G52" s="118"/>
    </row>
  </sheetData>
  <sheetProtection formatCells="0" formatColumns="0" formatRows="0" insertColumns="0" insertRows="0" insertHyperlinks="0" deleteColumns="0" deleteRows="0" sort="0" autoFilter="0" pivotTables="0"/>
  <mergeCells count="12">
    <mergeCell ref="A15:B15"/>
    <mergeCell ref="A16:B16"/>
    <mergeCell ref="A18:B18"/>
    <mergeCell ref="B47:B48"/>
    <mergeCell ref="B50:C50"/>
    <mergeCell ref="A8:G8"/>
    <mergeCell ref="A10:G10"/>
    <mergeCell ref="A11:B11"/>
    <mergeCell ref="A12:B12"/>
    <mergeCell ref="A13:B13"/>
    <mergeCell ref="A14:B14"/>
    <mergeCell ref="C14:G14"/>
  </mergeCells>
  <conditionalFormatting sqref="E21">
    <cfRule type="cellIs" dxfId="27" priority="1" operator="notBetween">
      <formula>IF(+$D$43&lt;300, -10.5%, -7.5%)</formula>
      <formula>IF(+$D$43&lt;300, 10.5%, 7.5%)</formula>
    </cfRule>
  </conditionalFormatting>
  <conditionalFormatting sqref="E22">
    <cfRule type="cellIs" dxfId="26" priority="2" operator="notBetween">
      <formula>IF(+$D$43&lt;300, -10.5%, -7.5%)</formula>
      <formula>IF(+$D$43&lt;300, 10.5%, 7.5%)</formula>
    </cfRule>
  </conditionalFormatting>
  <conditionalFormatting sqref="E23">
    <cfRule type="cellIs" dxfId="25" priority="3" operator="notBetween">
      <formula>IF(+$D$43&lt;300, -10.5%, -7.5%)</formula>
      <formula>IF(+$D$43&lt;300, 10.5%, 7.5%)</formula>
    </cfRule>
  </conditionalFormatting>
  <conditionalFormatting sqref="E24">
    <cfRule type="cellIs" dxfId="24" priority="4" operator="notBetween">
      <formula>IF(+$D$43&lt;300, -10.5%, -7.5%)</formula>
      <formula>IF(+$D$43&lt;300, 10.5%, 7.5%)</formula>
    </cfRule>
  </conditionalFormatting>
  <conditionalFormatting sqref="E25">
    <cfRule type="cellIs" dxfId="23" priority="5" operator="notBetween">
      <formula>IF(+$D$43&lt;300, -10.5%, -7.5%)</formula>
      <formula>IF(+$D$43&lt;300, 10.5%, 7.5%)</formula>
    </cfRule>
  </conditionalFormatting>
  <conditionalFormatting sqref="E26">
    <cfRule type="cellIs" dxfId="22" priority="6" operator="notBetween">
      <formula>IF(+$D$43&lt;300, -10.5%, -7.5%)</formula>
      <formula>IF(+$D$43&lt;300, 10.5%, 7.5%)</formula>
    </cfRule>
  </conditionalFormatting>
  <conditionalFormatting sqref="E27">
    <cfRule type="cellIs" dxfId="21" priority="7" operator="notBetween">
      <formula>IF(+$D$43&lt;300, -10.5%, -7.5%)</formula>
      <formula>IF(+$D$43&lt;300, 10.5%, 7.5%)</formula>
    </cfRule>
  </conditionalFormatting>
  <conditionalFormatting sqref="E28">
    <cfRule type="cellIs" dxfId="20" priority="8" operator="notBetween">
      <formula>IF(+$D$43&lt;300, -10.5%, -7.5%)</formula>
      <formula>IF(+$D$43&lt;300, 10.5%, 7.5%)</formula>
    </cfRule>
  </conditionalFormatting>
  <conditionalFormatting sqref="E29">
    <cfRule type="cellIs" dxfId="19" priority="9" operator="notBetween">
      <formula>IF(+$D$43&lt;300, -10.5%, -7.5%)</formula>
      <formula>IF(+$D$43&lt;300, 10.5%, 7.5%)</formula>
    </cfRule>
  </conditionalFormatting>
  <conditionalFormatting sqref="E30">
    <cfRule type="cellIs" dxfId="18" priority="10" operator="notBetween">
      <formula>IF(+$D$43&lt;300, -10.5%, -7.5%)</formula>
      <formula>IF(+$D$43&lt;300, 10.5%, 7.5%)</formula>
    </cfRule>
  </conditionalFormatting>
  <conditionalFormatting sqref="E31">
    <cfRule type="cellIs" dxfId="17" priority="11" operator="notBetween">
      <formula>IF(+$D$43&lt;300, -10.5%, -7.5%)</formula>
      <formula>IF(+$D$43&lt;300, 10.5%, 7.5%)</formula>
    </cfRule>
  </conditionalFormatting>
  <conditionalFormatting sqref="E32">
    <cfRule type="cellIs" dxfId="16" priority="12" operator="notBetween">
      <formula>IF(+$D$43&lt;300, -10.5%, -7.5%)</formula>
      <formula>IF(+$D$43&lt;300, 10.5%, 7.5%)</formula>
    </cfRule>
  </conditionalFormatting>
  <conditionalFormatting sqref="E33">
    <cfRule type="cellIs" dxfId="15" priority="13" operator="notBetween">
      <formula>IF(+$D$43&lt;300, -10.5%, -7.5%)</formula>
      <formula>IF(+$D$43&lt;300, 10.5%, 7.5%)</formula>
    </cfRule>
  </conditionalFormatting>
  <conditionalFormatting sqref="E34">
    <cfRule type="cellIs" dxfId="14" priority="14" operator="notBetween">
      <formula>IF(+$D$43&lt;300, -10.5%, -7.5%)</formula>
      <formula>IF(+$D$43&lt;300, 10.5%, 7.5%)</formula>
    </cfRule>
  </conditionalFormatting>
  <conditionalFormatting sqref="E35">
    <cfRule type="cellIs" dxfId="13" priority="15" operator="notBetween">
      <formula>IF(+$D$43&lt;300, -10.5%, -7.5%)</formula>
      <formula>IF(+$D$43&lt;300, 10.5%, 7.5%)</formula>
    </cfRule>
  </conditionalFormatting>
  <conditionalFormatting sqref="E36">
    <cfRule type="cellIs" dxfId="12" priority="16" operator="notBetween">
      <formula>IF(+$D$43&lt;300, -10.5%, -7.5%)</formula>
      <formula>IF(+$D$43&lt;300, 10.5%, 7.5%)</formula>
    </cfRule>
  </conditionalFormatting>
  <conditionalFormatting sqref="E37">
    <cfRule type="cellIs" dxfId="11" priority="17" operator="notBetween">
      <formula>IF(+$D$43&lt;300, -10.5%, -7.5%)</formula>
      <formula>IF(+$D$43&lt;300, 10.5%, 7.5%)</formula>
    </cfRule>
  </conditionalFormatting>
  <conditionalFormatting sqref="E38">
    <cfRule type="cellIs" dxfId="10" priority="18" operator="notBetween">
      <formula>IF(+$D$43&lt;300, -10.5%, -7.5%)</formula>
      <formula>IF(+$D$43&lt;300, 10.5%, 7.5%)</formula>
    </cfRule>
  </conditionalFormatting>
  <conditionalFormatting sqref="E39">
    <cfRule type="cellIs" dxfId="9" priority="19" operator="notBetween">
      <formula>IF(+$D$43&lt;300, -10.5%, -7.5%)</formula>
      <formula>IF(+$D$43&lt;300, 10.5%, 7.5%)</formula>
    </cfRule>
  </conditionalFormatting>
  <conditionalFormatting sqref="E40">
    <cfRule type="cellIs" dxfId="8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7" zoomScale="55" zoomScaleNormal="40" zoomScalePageLayoutView="55" workbookViewId="0">
      <selection activeCell="B19" sqref="B19"/>
    </sheetView>
  </sheetViews>
  <sheetFormatPr defaultColWidth="9.140625" defaultRowHeight="13.5" x14ac:dyDescent="0.25"/>
  <cols>
    <col min="1" max="1" width="55.42578125" style="246" customWidth="1"/>
    <col min="2" max="2" width="33.7109375" style="246" customWidth="1"/>
    <col min="3" max="3" width="42.28515625" style="246" customWidth="1"/>
    <col min="4" max="4" width="30.5703125" style="246" customWidth="1"/>
    <col min="5" max="5" width="39.85546875" style="246" customWidth="1"/>
    <col min="6" max="6" width="30.7109375" style="246" customWidth="1"/>
    <col min="7" max="7" width="39.85546875" style="246" customWidth="1"/>
    <col min="8" max="8" width="30" style="246" customWidth="1"/>
    <col min="9" max="9" width="30.28515625" style="246" hidden="1" customWidth="1"/>
    <col min="10" max="10" width="30.42578125" style="246" customWidth="1"/>
    <col min="11" max="11" width="21.28515625" style="246" customWidth="1"/>
    <col min="12" max="12" width="9.140625" style="246"/>
    <col min="13" max="16384" width="9.140625" style="44"/>
  </cols>
  <sheetData>
    <row r="1" spans="1:9" ht="18.75" customHeight="1" x14ac:dyDescent="0.25">
      <c r="A1" s="349" t="s">
        <v>47</v>
      </c>
      <c r="B1" s="349"/>
      <c r="C1" s="349"/>
      <c r="D1" s="349"/>
      <c r="E1" s="349"/>
      <c r="F1" s="349"/>
      <c r="G1" s="349"/>
      <c r="H1" s="349"/>
      <c r="I1" s="349"/>
    </row>
    <row r="2" spans="1:9" ht="18.75" customHeight="1" x14ac:dyDescent="0.25">
      <c r="A2" s="349"/>
      <c r="B2" s="349"/>
      <c r="C2" s="349"/>
      <c r="D2" s="349"/>
      <c r="E2" s="349"/>
      <c r="F2" s="349"/>
      <c r="G2" s="349"/>
      <c r="H2" s="349"/>
      <c r="I2" s="349"/>
    </row>
    <row r="3" spans="1:9" ht="18.75" customHeight="1" x14ac:dyDescent="0.25">
      <c r="A3" s="349"/>
      <c r="B3" s="349"/>
      <c r="C3" s="349"/>
      <c r="D3" s="349"/>
      <c r="E3" s="349"/>
      <c r="F3" s="349"/>
      <c r="G3" s="349"/>
      <c r="H3" s="349"/>
      <c r="I3" s="349"/>
    </row>
    <row r="4" spans="1:9" ht="18.75" customHeight="1" x14ac:dyDescent="0.25">
      <c r="A4" s="349"/>
      <c r="B4" s="349"/>
      <c r="C4" s="349"/>
      <c r="D4" s="349"/>
      <c r="E4" s="349"/>
      <c r="F4" s="349"/>
      <c r="G4" s="349"/>
      <c r="H4" s="349"/>
      <c r="I4" s="349"/>
    </row>
    <row r="5" spans="1:9" ht="18.75" customHeight="1" x14ac:dyDescent="0.25">
      <c r="A5" s="349"/>
      <c r="B5" s="349"/>
      <c r="C5" s="349"/>
      <c r="D5" s="349"/>
      <c r="E5" s="349"/>
      <c r="F5" s="349"/>
      <c r="G5" s="349"/>
      <c r="H5" s="349"/>
      <c r="I5" s="349"/>
    </row>
    <row r="6" spans="1:9" ht="18.75" customHeight="1" x14ac:dyDescent="0.25">
      <c r="A6" s="349"/>
      <c r="B6" s="349"/>
      <c r="C6" s="349"/>
      <c r="D6" s="349"/>
      <c r="E6" s="349"/>
      <c r="F6" s="349"/>
      <c r="G6" s="349"/>
      <c r="H6" s="349"/>
      <c r="I6" s="349"/>
    </row>
    <row r="7" spans="1:9" ht="18.75" customHeight="1" x14ac:dyDescent="0.25">
      <c r="A7" s="349"/>
      <c r="B7" s="349"/>
      <c r="C7" s="349"/>
      <c r="D7" s="349"/>
      <c r="E7" s="349"/>
      <c r="F7" s="349"/>
      <c r="G7" s="349"/>
      <c r="H7" s="349"/>
      <c r="I7" s="349"/>
    </row>
    <row r="8" spans="1:9" x14ac:dyDescent="0.25">
      <c r="A8" s="350" t="s">
        <v>48</v>
      </c>
      <c r="B8" s="350"/>
      <c r="C8" s="350"/>
      <c r="D8" s="350"/>
      <c r="E8" s="350"/>
      <c r="F8" s="350"/>
      <c r="G8" s="350"/>
      <c r="H8" s="350"/>
      <c r="I8" s="350"/>
    </row>
    <row r="9" spans="1:9" x14ac:dyDescent="0.25">
      <c r="A9" s="350"/>
      <c r="B9" s="350"/>
      <c r="C9" s="350"/>
      <c r="D9" s="350"/>
      <c r="E9" s="350"/>
      <c r="F9" s="350"/>
      <c r="G9" s="350"/>
      <c r="H9" s="350"/>
      <c r="I9" s="350"/>
    </row>
    <row r="10" spans="1:9" x14ac:dyDescent="0.25">
      <c r="A10" s="350"/>
      <c r="B10" s="350"/>
      <c r="C10" s="350"/>
      <c r="D10" s="350"/>
      <c r="E10" s="350"/>
      <c r="F10" s="350"/>
      <c r="G10" s="350"/>
      <c r="H10" s="350"/>
      <c r="I10" s="350"/>
    </row>
    <row r="11" spans="1:9" x14ac:dyDescent="0.25">
      <c r="A11" s="350"/>
      <c r="B11" s="350"/>
      <c r="C11" s="350"/>
      <c r="D11" s="350"/>
      <c r="E11" s="350"/>
      <c r="F11" s="350"/>
      <c r="G11" s="350"/>
      <c r="H11" s="350"/>
      <c r="I11" s="350"/>
    </row>
    <row r="12" spans="1:9" x14ac:dyDescent="0.25">
      <c r="A12" s="350"/>
      <c r="B12" s="350"/>
      <c r="C12" s="350"/>
      <c r="D12" s="350"/>
      <c r="E12" s="350"/>
      <c r="F12" s="350"/>
      <c r="G12" s="350"/>
      <c r="H12" s="350"/>
      <c r="I12" s="350"/>
    </row>
    <row r="13" spans="1:9" x14ac:dyDescent="0.25">
      <c r="A13" s="350"/>
      <c r="B13" s="350"/>
      <c r="C13" s="350"/>
      <c r="D13" s="350"/>
      <c r="E13" s="350"/>
      <c r="F13" s="350"/>
      <c r="G13" s="350"/>
      <c r="H13" s="350"/>
      <c r="I13" s="350"/>
    </row>
    <row r="14" spans="1:9" x14ac:dyDescent="0.25">
      <c r="A14" s="350"/>
      <c r="B14" s="350"/>
      <c r="C14" s="350"/>
      <c r="D14" s="350"/>
      <c r="E14" s="350"/>
      <c r="F14" s="350"/>
      <c r="G14" s="350"/>
      <c r="H14" s="350"/>
      <c r="I14" s="350"/>
    </row>
    <row r="15" spans="1:9" ht="19.5" customHeight="1" thickBot="1" x14ac:dyDescent="0.35">
      <c r="A15" s="226"/>
    </row>
    <row r="16" spans="1:9" ht="19.5" customHeight="1" thickBot="1" x14ac:dyDescent="0.35">
      <c r="A16" s="322" t="s">
        <v>29</v>
      </c>
      <c r="B16" s="323"/>
      <c r="C16" s="323"/>
      <c r="D16" s="323"/>
      <c r="E16" s="323"/>
      <c r="F16" s="323"/>
      <c r="G16" s="323"/>
      <c r="H16" s="324"/>
    </row>
    <row r="17" spans="1:14" ht="20.25" customHeight="1" x14ac:dyDescent="0.25">
      <c r="A17" s="325" t="s">
        <v>49</v>
      </c>
      <c r="B17" s="325"/>
      <c r="C17" s="325"/>
      <c r="D17" s="325"/>
      <c r="E17" s="325"/>
      <c r="F17" s="325"/>
      <c r="G17" s="325"/>
      <c r="H17" s="325"/>
    </row>
    <row r="18" spans="1:14" ht="26.25" customHeight="1" x14ac:dyDescent="0.4">
      <c r="A18" s="121" t="s">
        <v>31</v>
      </c>
      <c r="B18" s="321" t="s">
        <v>135</v>
      </c>
      <c r="C18" s="321"/>
      <c r="D18" s="287"/>
      <c r="E18" s="122"/>
      <c r="F18" s="123"/>
      <c r="G18" s="123"/>
      <c r="H18" s="123"/>
    </row>
    <row r="19" spans="1:14" ht="26.25" customHeight="1" x14ac:dyDescent="0.4">
      <c r="A19" s="121" t="s">
        <v>32</v>
      </c>
      <c r="B19" s="306" t="s">
        <v>138</v>
      </c>
      <c r="C19" s="289">
        <v>1</v>
      </c>
      <c r="D19" s="123"/>
      <c r="E19" s="123"/>
      <c r="F19" s="123"/>
      <c r="G19" s="123"/>
      <c r="H19" s="123"/>
    </row>
    <row r="20" spans="1:14" ht="26.25" customHeight="1" x14ac:dyDescent="0.4">
      <c r="A20" s="121" t="s">
        <v>33</v>
      </c>
      <c r="B20" s="326" t="s">
        <v>133</v>
      </c>
      <c r="C20" s="326"/>
      <c r="D20" s="123"/>
      <c r="E20" s="123"/>
      <c r="F20" s="123"/>
      <c r="G20" s="123"/>
      <c r="H20" s="123"/>
    </row>
    <row r="21" spans="1:14" ht="26.25" customHeight="1" x14ac:dyDescent="0.4">
      <c r="A21" s="121" t="s">
        <v>34</v>
      </c>
      <c r="B21" s="326" t="s">
        <v>134</v>
      </c>
      <c r="C21" s="326"/>
      <c r="D21" s="326"/>
      <c r="E21" s="326"/>
      <c r="F21" s="326"/>
      <c r="G21" s="326"/>
      <c r="H21" s="326"/>
      <c r="I21" s="125"/>
    </row>
    <row r="22" spans="1:14" ht="26.25" customHeight="1" x14ac:dyDescent="0.4">
      <c r="A22" s="121" t="s">
        <v>35</v>
      </c>
      <c r="B22" s="126" t="s">
        <v>10</v>
      </c>
      <c r="C22" s="123"/>
      <c r="D22" s="123"/>
      <c r="E22" s="123"/>
      <c r="F22" s="123"/>
      <c r="G22" s="123"/>
      <c r="H22" s="123"/>
    </row>
    <row r="23" spans="1:14" ht="26.25" customHeight="1" x14ac:dyDescent="0.4">
      <c r="A23" s="121" t="s">
        <v>36</v>
      </c>
      <c r="B23" s="126" t="s">
        <v>126</v>
      </c>
      <c r="C23" s="123"/>
      <c r="D23" s="123"/>
      <c r="E23" s="123"/>
      <c r="F23" s="123"/>
      <c r="G23" s="123"/>
      <c r="H23" s="123"/>
    </row>
    <row r="24" spans="1:14" ht="18.75" x14ac:dyDescent="0.3">
      <c r="A24" s="121"/>
      <c r="B24" s="127"/>
    </row>
    <row r="25" spans="1:14" ht="18.75" x14ac:dyDescent="0.3">
      <c r="A25" s="128" t="s">
        <v>1</v>
      </c>
      <c r="B25" s="127"/>
    </row>
    <row r="26" spans="1:14" ht="26.25" customHeight="1" x14ac:dyDescent="0.4">
      <c r="A26" s="281" t="s">
        <v>4</v>
      </c>
      <c r="B26" s="321" t="s">
        <v>136</v>
      </c>
      <c r="C26" s="321"/>
    </row>
    <row r="27" spans="1:14" ht="26.25" customHeight="1" x14ac:dyDescent="0.4">
      <c r="A27" s="237" t="s">
        <v>50</v>
      </c>
      <c r="B27" s="327" t="s">
        <v>137</v>
      </c>
      <c r="C27" s="327"/>
    </row>
    <row r="28" spans="1:14" ht="27" customHeight="1" thickBot="1" x14ac:dyDescent="0.45">
      <c r="A28" s="237" t="s">
        <v>5</v>
      </c>
      <c r="B28" s="229">
        <v>41.65</v>
      </c>
    </row>
    <row r="29" spans="1:14" s="16" customFormat="1" ht="27" customHeight="1" thickBot="1" x14ac:dyDescent="0.45">
      <c r="A29" s="237" t="s">
        <v>51</v>
      </c>
      <c r="B29" s="132"/>
      <c r="C29" s="328" t="s">
        <v>52</v>
      </c>
      <c r="D29" s="329"/>
      <c r="E29" s="329"/>
      <c r="F29" s="329"/>
      <c r="G29" s="330"/>
      <c r="I29" s="133"/>
      <c r="J29" s="133"/>
      <c r="K29" s="133"/>
      <c r="L29" s="133"/>
    </row>
    <row r="30" spans="1:14" s="16" customFormat="1" ht="19.5" customHeight="1" thickBot="1" x14ac:dyDescent="0.35">
      <c r="A30" s="237" t="s">
        <v>53</v>
      </c>
      <c r="B30" s="302">
        <f>B28-B29</f>
        <v>41.65</v>
      </c>
      <c r="C30" s="135"/>
      <c r="D30" s="135"/>
      <c r="E30" s="135"/>
      <c r="F30" s="135"/>
      <c r="G30" s="136"/>
      <c r="I30" s="133"/>
      <c r="J30" s="133"/>
      <c r="K30" s="133"/>
      <c r="L30" s="133"/>
    </row>
    <row r="31" spans="1:14" s="16" customFormat="1" ht="27" customHeight="1" thickBot="1" x14ac:dyDescent="0.45">
      <c r="A31" s="237" t="s">
        <v>54</v>
      </c>
      <c r="B31" s="137">
        <v>1</v>
      </c>
      <c r="C31" s="331" t="s">
        <v>55</v>
      </c>
      <c r="D31" s="332"/>
      <c r="E31" s="332"/>
      <c r="F31" s="332"/>
      <c r="G31" s="332"/>
      <c r="H31" s="333"/>
      <c r="I31" s="133"/>
      <c r="J31" s="133"/>
      <c r="K31" s="133"/>
      <c r="L31" s="133"/>
    </row>
    <row r="32" spans="1:14" s="16" customFormat="1" ht="27" customHeight="1" thickBot="1" x14ac:dyDescent="0.45">
      <c r="A32" s="237" t="s">
        <v>56</v>
      </c>
      <c r="B32" s="137">
        <v>1</v>
      </c>
      <c r="C32" s="331" t="s">
        <v>57</v>
      </c>
      <c r="D32" s="332"/>
      <c r="E32" s="332"/>
      <c r="F32" s="332"/>
      <c r="G32" s="332"/>
      <c r="H32" s="333"/>
      <c r="I32" s="133"/>
      <c r="J32" s="133"/>
      <c r="K32" s="133"/>
      <c r="L32" s="138"/>
      <c r="M32" s="138"/>
      <c r="N32" s="139"/>
    </row>
    <row r="33" spans="1:14" s="16" customFormat="1" ht="17.25" customHeight="1" x14ac:dyDescent="0.3">
      <c r="A33" s="237"/>
      <c r="B33" s="140"/>
      <c r="C33" s="141"/>
      <c r="D33" s="141"/>
      <c r="E33" s="141"/>
      <c r="F33" s="141"/>
      <c r="G33" s="141"/>
      <c r="H33" s="141"/>
      <c r="I33" s="133"/>
      <c r="J33" s="133"/>
      <c r="K33" s="133"/>
      <c r="L33" s="138"/>
      <c r="M33" s="138"/>
      <c r="N33" s="139"/>
    </row>
    <row r="34" spans="1:14" s="16" customFormat="1" ht="18.75" x14ac:dyDescent="0.3">
      <c r="A34" s="237" t="s">
        <v>58</v>
      </c>
      <c r="B34" s="142">
        <f>B31/B32</f>
        <v>1</v>
      </c>
      <c r="C34" s="226" t="s">
        <v>59</v>
      </c>
      <c r="D34" s="226"/>
      <c r="E34" s="226"/>
      <c r="F34" s="226"/>
      <c r="G34" s="226"/>
      <c r="I34" s="133"/>
      <c r="J34" s="133"/>
      <c r="K34" s="133"/>
      <c r="L34" s="138"/>
      <c r="M34" s="138"/>
      <c r="N34" s="139"/>
    </row>
    <row r="35" spans="1:14" s="16" customFormat="1" ht="19.5" customHeight="1" thickBot="1" x14ac:dyDescent="0.35">
      <c r="A35" s="237"/>
      <c r="B35" s="302"/>
      <c r="G35" s="226"/>
      <c r="I35" s="133"/>
      <c r="J35" s="133"/>
      <c r="K35" s="133"/>
      <c r="L35" s="138"/>
      <c r="M35" s="138"/>
      <c r="N35" s="139"/>
    </row>
    <row r="36" spans="1:14" s="16" customFormat="1" ht="27" customHeight="1" thickBot="1" x14ac:dyDescent="0.45">
      <c r="A36" s="143" t="s">
        <v>60</v>
      </c>
      <c r="B36" s="144">
        <v>50</v>
      </c>
      <c r="C36" s="226"/>
      <c r="D36" s="334" t="s">
        <v>61</v>
      </c>
      <c r="E36" s="335"/>
      <c r="F36" s="334" t="s">
        <v>62</v>
      </c>
      <c r="G36" s="336"/>
      <c r="J36" s="133"/>
      <c r="K36" s="133"/>
      <c r="L36" s="138"/>
      <c r="M36" s="138"/>
      <c r="N36" s="139"/>
    </row>
    <row r="37" spans="1:14" s="16" customFormat="1" ht="27" customHeight="1" thickBot="1" x14ac:dyDescent="0.45">
      <c r="A37" s="145" t="s">
        <v>63</v>
      </c>
      <c r="B37" s="146">
        <v>1</v>
      </c>
      <c r="C37" s="147" t="s">
        <v>64</v>
      </c>
      <c r="D37" s="148" t="s">
        <v>65</v>
      </c>
      <c r="E37" s="149" t="s">
        <v>66</v>
      </c>
      <c r="F37" s="148" t="s">
        <v>65</v>
      </c>
      <c r="G37" s="150" t="s">
        <v>66</v>
      </c>
      <c r="I37" s="151" t="s">
        <v>67</v>
      </c>
      <c r="J37" s="133"/>
      <c r="K37" s="133"/>
      <c r="L37" s="138"/>
      <c r="M37" s="138"/>
      <c r="N37" s="139"/>
    </row>
    <row r="38" spans="1:14" s="16" customFormat="1" ht="26.25" customHeight="1" x14ac:dyDescent="0.4">
      <c r="A38" s="145" t="s">
        <v>68</v>
      </c>
      <c r="B38" s="146">
        <v>1</v>
      </c>
      <c r="C38" s="152">
        <v>1</v>
      </c>
      <c r="D38" s="153">
        <v>37617445</v>
      </c>
      <c r="E38" s="154">
        <f>IF(ISBLANK(D38),"-",$D$48/$D$45*D38)</f>
        <v>19586657.529076859</v>
      </c>
      <c r="F38" s="153">
        <v>39935413</v>
      </c>
      <c r="G38" s="155">
        <f>IF(ISBLANK(F38),"-",$D$48/$F$45*F38)</f>
        <v>19635350.699912995</v>
      </c>
      <c r="I38" s="156"/>
      <c r="J38" s="133"/>
      <c r="K38" s="133"/>
      <c r="L38" s="138"/>
      <c r="M38" s="138"/>
      <c r="N38" s="139"/>
    </row>
    <row r="39" spans="1:14" s="16" customFormat="1" ht="26.25" customHeight="1" x14ac:dyDescent="0.4">
      <c r="A39" s="145" t="s">
        <v>69</v>
      </c>
      <c r="B39" s="146">
        <v>1</v>
      </c>
      <c r="C39" s="177">
        <v>2</v>
      </c>
      <c r="D39" s="158">
        <v>37438258</v>
      </c>
      <c r="E39" s="159">
        <f>IF(ISBLANK(D39),"-",$D$48/$D$45*D39)</f>
        <v>19493358.412067115</v>
      </c>
      <c r="F39" s="158">
        <v>39902981</v>
      </c>
      <c r="G39" s="160">
        <f>IF(ISBLANK(F39),"-",$D$48/$F$45*F39)</f>
        <v>19619404.609812472</v>
      </c>
      <c r="I39" s="338">
        <f>ABS((F43/D43*D42)-F42)/D42</f>
        <v>6.5215707502407714E-3</v>
      </c>
      <c r="J39" s="133"/>
      <c r="K39" s="133"/>
      <c r="L39" s="138"/>
      <c r="M39" s="138"/>
      <c r="N39" s="139"/>
    </row>
    <row r="40" spans="1:14" ht="26.25" customHeight="1" x14ac:dyDescent="0.4">
      <c r="A40" s="145" t="s">
        <v>70</v>
      </c>
      <c r="B40" s="146">
        <v>1</v>
      </c>
      <c r="C40" s="177">
        <v>3</v>
      </c>
      <c r="D40" s="158">
        <v>37372148</v>
      </c>
      <c r="E40" s="159">
        <f>IF(ISBLANK(D40),"-",$D$48/$D$45*D40)</f>
        <v>19458936.246254224</v>
      </c>
      <c r="F40" s="158">
        <v>39954424</v>
      </c>
      <c r="G40" s="160">
        <f>IF(ISBLANK(F40),"-",$D$48/$F$45*F40)</f>
        <v>19644697.984042898</v>
      </c>
      <c r="I40" s="338"/>
      <c r="L40" s="138"/>
      <c r="M40" s="138"/>
      <c r="N40" s="226"/>
    </row>
    <row r="41" spans="1:14" ht="27" customHeight="1" thickBot="1" x14ac:dyDescent="0.45">
      <c r="A41" s="145" t="s">
        <v>71</v>
      </c>
      <c r="B41" s="146">
        <v>1</v>
      </c>
      <c r="C41" s="162">
        <v>4</v>
      </c>
      <c r="D41" s="163"/>
      <c r="E41" s="164" t="str">
        <f>IF(ISBLANK(D41),"-",$D$48/$D$45*D41)</f>
        <v>-</v>
      </c>
      <c r="F41" s="163"/>
      <c r="G41" s="165" t="str">
        <f>IF(ISBLANK(F41),"-",$D$48/$F$45*F41)</f>
        <v>-</v>
      </c>
      <c r="I41" s="166"/>
      <c r="L41" s="138"/>
      <c r="M41" s="138"/>
      <c r="N41" s="226"/>
    </row>
    <row r="42" spans="1:14" ht="27" customHeight="1" thickBot="1" x14ac:dyDescent="0.45">
      <c r="A42" s="145" t="s">
        <v>72</v>
      </c>
      <c r="B42" s="146">
        <v>1</v>
      </c>
      <c r="C42" s="167" t="s">
        <v>73</v>
      </c>
      <c r="D42" s="168">
        <f>AVERAGE(D38:D41)</f>
        <v>37475950.333333336</v>
      </c>
      <c r="E42" s="169">
        <f>AVERAGE(E38:E41)</f>
        <v>19512984.062466066</v>
      </c>
      <c r="F42" s="168">
        <f>AVERAGE(F38:F41)</f>
        <v>39930939.333333336</v>
      </c>
      <c r="G42" s="170">
        <f>AVERAGE(G38:G41)</f>
        <v>19633151.097922787</v>
      </c>
      <c r="H42" s="171"/>
    </row>
    <row r="43" spans="1:14" ht="26.25" customHeight="1" x14ac:dyDescent="0.4">
      <c r="A43" s="145" t="s">
        <v>74</v>
      </c>
      <c r="B43" s="146">
        <v>1</v>
      </c>
      <c r="C43" s="172" t="s">
        <v>75</v>
      </c>
      <c r="D43" s="173">
        <v>14.41</v>
      </c>
      <c r="E43" s="226"/>
      <c r="F43" s="173">
        <v>15.26</v>
      </c>
      <c r="H43" s="171"/>
    </row>
    <row r="44" spans="1:14" ht="26.25" customHeight="1" x14ac:dyDescent="0.4">
      <c r="A44" s="145" t="s">
        <v>76</v>
      </c>
      <c r="B44" s="146">
        <v>1</v>
      </c>
      <c r="C44" s="174" t="s">
        <v>77</v>
      </c>
      <c r="D44" s="175">
        <f>D43*$B$34</f>
        <v>14.41</v>
      </c>
      <c r="E44" s="243"/>
      <c r="F44" s="175">
        <f>F43*$B$34</f>
        <v>15.26</v>
      </c>
      <c r="H44" s="171"/>
    </row>
    <row r="45" spans="1:14" ht="19.5" customHeight="1" thickBot="1" x14ac:dyDescent="0.35">
      <c r="A45" s="145" t="s">
        <v>78</v>
      </c>
      <c r="B45" s="177">
        <f>(B44/B43)*(B42/B41)*(B40/B39)*(B38/B37)*B36</f>
        <v>50</v>
      </c>
      <c r="C45" s="174" t="s">
        <v>79</v>
      </c>
      <c r="D45" s="178">
        <f>D44*$B$30/100</f>
        <v>6.0017650000000007</v>
      </c>
      <c r="E45" s="222"/>
      <c r="F45" s="178">
        <f>F44*$B$30/100</f>
        <v>6.3557899999999998</v>
      </c>
      <c r="H45" s="171"/>
    </row>
    <row r="46" spans="1:14" ht="19.5" customHeight="1" thickBot="1" x14ac:dyDescent="0.35">
      <c r="A46" s="339" t="s">
        <v>80</v>
      </c>
      <c r="B46" s="340"/>
      <c r="C46" s="174" t="s">
        <v>81</v>
      </c>
      <c r="D46" s="180">
        <f>D45/$B$45</f>
        <v>0.12003530000000001</v>
      </c>
      <c r="E46" s="181"/>
      <c r="F46" s="182">
        <f>F45/$B$45</f>
        <v>0.1271158</v>
      </c>
      <c r="H46" s="171"/>
    </row>
    <row r="47" spans="1:14" ht="27" customHeight="1" thickBot="1" x14ac:dyDescent="0.45">
      <c r="A47" s="341"/>
      <c r="B47" s="342"/>
      <c r="C47" s="183" t="s">
        <v>82</v>
      </c>
      <c r="D47" s="184">
        <v>6.25E-2</v>
      </c>
      <c r="E47" s="185"/>
      <c r="F47" s="181"/>
      <c r="H47" s="171"/>
    </row>
    <row r="48" spans="1:14" ht="18.75" x14ac:dyDescent="0.3">
      <c r="C48" s="186" t="s">
        <v>83</v>
      </c>
      <c r="D48" s="178">
        <f>D47*$B$45</f>
        <v>3.125</v>
      </c>
      <c r="F48" s="187"/>
      <c r="H48" s="171"/>
    </row>
    <row r="49" spans="1:12" ht="19.5" customHeight="1" thickBot="1" x14ac:dyDescent="0.35">
      <c r="C49" s="188" t="s">
        <v>84</v>
      </c>
      <c r="D49" s="189">
        <f>D48/B34</f>
        <v>3.125</v>
      </c>
      <c r="F49" s="187"/>
      <c r="H49" s="171"/>
    </row>
    <row r="50" spans="1:12" ht="18.75" x14ac:dyDescent="0.3">
      <c r="C50" s="143" t="s">
        <v>85</v>
      </c>
      <c r="D50" s="190">
        <f>AVERAGE(E38:E41,G38:G41)</f>
        <v>19573067.580194425</v>
      </c>
      <c r="F50" s="191"/>
      <c r="H50" s="171"/>
    </row>
    <row r="51" spans="1:12" ht="18.75" x14ac:dyDescent="0.3">
      <c r="C51" s="145" t="s">
        <v>86</v>
      </c>
      <c r="D51" s="192">
        <f>STDEV(E38:E41,G38:G41)/D50</f>
        <v>4.004762418395846E-3</v>
      </c>
      <c r="F51" s="191"/>
      <c r="H51" s="171"/>
    </row>
    <row r="52" spans="1:12" ht="19.5" customHeight="1" thickBot="1" x14ac:dyDescent="0.35">
      <c r="C52" s="193" t="s">
        <v>18</v>
      </c>
      <c r="D52" s="194">
        <f>COUNT(E38:E41,G38:G41)</f>
        <v>6</v>
      </c>
      <c r="F52" s="191"/>
    </row>
    <row r="54" spans="1:12" ht="18.75" x14ac:dyDescent="0.3">
      <c r="A54" s="195" t="s">
        <v>1</v>
      </c>
      <c r="B54" s="196" t="s">
        <v>87</v>
      </c>
    </row>
    <row r="55" spans="1:12" ht="18.75" x14ac:dyDescent="0.3">
      <c r="A55" s="226" t="s">
        <v>88</v>
      </c>
      <c r="B55" s="198" t="str">
        <f>B21</f>
        <v>Each film coated tablet contains Amoxicillin 500mg Clavulanic acid 125mg</v>
      </c>
    </row>
    <row r="56" spans="1:12" ht="26.25" customHeight="1" x14ac:dyDescent="0.4">
      <c r="A56" s="198" t="s">
        <v>89</v>
      </c>
      <c r="B56" s="199">
        <v>125</v>
      </c>
      <c r="C56" s="226" t="str">
        <f>B20</f>
        <v>Amoxicillin and Clavulanic Acid</v>
      </c>
      <c r="H56" s="243"/>
    </row>
    <row r="57" spans="1:12" ht="18.75" x14ac:dyDescent="0.3">
      <c r="A57" s="198" t="s">
        <v>90</v>
      </c>
      <c r="B57" s="288">
        <v>1118.182</v>
      </c>
      <c r="H57" s="243"/>
    </row>
    <row r="58" spans="1:12" ht="19.5" customHeight="1" thickBot="1" x14ac:dyDescent="0.35">
      <c r="H58" s="243"/>
    </row>
    <row r="59" spans="1:12" s="16" customFormat="1" ht="27" customHeight="1" thickBot="1" x14ac:dyDescent="0.45">
      <c r="A59" s="143" t="s">
        <v>91</v>
      </c>
      <c r="B59" s="144">
        <v>100</v>
      </c>
      <c r="C59" s="226"/>
      <c r="D59" s="201" t="s">
        <v>92</v>
      </c>
      <c r="E59" s="202" t="s">
        <v>64</v>
      </c>
      <c r="F59" s="202" t="s">
        <v>65</v>
      </c>
      <c r="G59" s="202" t="s">
        <v>93</v>
      </c>
      <c r="H59" s="147" t="s">
        <v>94</v>
      </c>
      <c r="L59" s="133"/>
    </row>
    <row r="60" spans="1:12" s="16" customFormat="1" ht="26.25" customHeight="1" x14ac:dyDescent="0.4">
      <c r="A60" s="145" t="s">
        <v>95</v>
      </c>
      <c r="B60" s="146">
        <v>1</v>
      </c>
      <c r="C60" s="343" t="s">
        <v>96</v>
      </c>
      <c r="D60" s="346">
        <v>119.8</v>
      </c>
      <c r="E60" s="203">
        <v>1</v>
      </c>
      <c r="F60" s="204">
        <v>38470611</v>
      </c>
      <c r="G60" s="290">
        <f>IF(ISBLANK(F60),"-",(F60/$D$50*$D$47*$B$68)*($B$57/$D$60))</f>
        <v>114.65840195510899</v>
      </c>
      <c r="H60" s="205">
        <f>IF(ISBLANK(F60),"-",G60/$B$56)</f>
        <v>0.91726721564087188</v>
      </c>
      <c r="L60" s="133"/>
    </row>
    <row r="61" spans="1:12" s="16" customFormat="1" ht="26.25" customHeight="1" x14ac:dyDescent="0.4">
      <c r="A61" s="145" t="s">
        <v>97</v>
      </c>
      <c r="B61" s="146">
        <v>1</v>
      </c>
      <c r="C61" s="344"/>
      <c r="D61" s="347"/>
      <c r="E61" s="206">
        <v>2</v>
      </c>
      <c r="F61" s="158">
        <v>38428407</v>
      </c>
      <c r="G61" s="291">
        <f>IF(ISBLANK(F61),"-",(F61/$D$50*$D$47*$B$68)*($B$57/$D$60))</f>
        <v>114.53261650303719</v>
      </c>
      <c r="H61" s="207">
        <f>IF(ISBLANK(F61),"-",G61/$B$56)</f>
        <v>0.91626093202429748</v>
      </c>
      <c r="L61" s="133"/>
    </row>
    <row r="62" spans="1:12" s="16" customFormat="1" ht="26.25" customHeight="1" x14ac:dyDescent="0.4">
      <c r="A62" s="145" t="s">
        <v>98</v>
      </c>
      <c r="B62" s="146">
        <v>1</v>
      </c>
      <c r="C62" s="344"/>
      <c r="D62" s="347"/>
      <c r="E62" s="206">
        <v>3</v>
      </c>
      <c r="F62" s="208">
        <v>38660706</v>
      </c>
      <c r="G62" s="291">
        <f>IF(ISBLANK(F62),"-",(F62/$D$50*$D$47*$B$68)*($B$57/$D$60))</f>
        <v>115.22496402296012</v>
      </c>
      <c r="H62" s="207">
        <f t="shared" ref="H62:H71" si="0">IF(ISBLANK(F62),"-",G62/$B$56)</f>
        <v>0.92179971218368095</v>
      </c>
      <c r="L62" s="133"/>
    </row>
    <row r="63" spans="1:12" ht="27" customHeight="1" thickBot="1" x14ac:dyDescent="0.45">
      <c r="A63" s="145" t="s">
        <v>99</v>
      </c>
      <c r="B63" s="146">
        <v>1</v>
      </c>
      <c r="C63" s="345"/>
      <c r="D63" s="348"/>
      <c r="E63" s="209">
        <v>4</v>
      </c>
      <c r="F63" s="210"/>
      <c r="G63" s="291" t="str">
        <f>IF(ISBLANK(F63),"-",(F63/$D$50*$D$47*$B$68)*($B$57/$D$60))</f>
        <v>-</v>
      </c>
      <c r="H63" s="207" t="str">
        <f t="shared" si="0"/>
        <v>-</v>
      </c>
    </row>
    <row r="64" spans="1:12" ht="26.25" customHeight="1" x14ac:dyDescent="0.4">
      <c r="A64" s="145" t="s">
        <v>100</v>
      </c>
      <c r="B64" s="146">
        <v>1</v>
      </c>
      <c r="C64" s="343" t="s">
        <v>101</v>
      </c>
      <c r="D64" s="346">
        <v>117.12</v>
      </c>
      <c r="E64" s="203">
        <v>1</v>
      </c>
      <c r="F64" s="204">
        <v>36996324</v>
      </c>
      <c r="G64" s="292">
        <f>IF(ISBLANK(F64),"-",(F64/$D$50*$D$47*$B$68)*($B$57/$D$64))</f>
        <v>112.78754122336579</v>
      </c>
      <c r="H64" s="211">
        <f>IF(ISBLANK(F64),"-",G64/$B$56)</f>
        <v>0.90230032978692631</v>
      </c>
    </row>
    <row r="65" spans="1:8" ht="26.25" customHeight="1" x14ac:dyDescent="0.4">
      <c r="A65" s="145" t="s">
        <v>102</v>
      </c>
      <c r="B65" s="146">
        <v>1</v>
      </c>
      <c r="C65" s="344"/>
      <c r="D65" s="347"/>
      <c r="E65" s="206">
        <v>2</v>
      </c>
      <c r="F65" s="158">
        <v>36944842</v>
      </c>
      <c r="G65" s="293">
        <f>IF(ISBLANK(F65),"-",(F65/$D$50*$D$47*$B$68)*($B$57/$D$64))</f>
        <v>112.63059243577109</v>
      </c>
      <c r="H65" s="212">
        <f>IF(ISBLANK(F65),"-",G65/$B$56)</f>
        <v>0.9010447394861687</v>
      </c>
    </row>
    <row r="66" spans="1:8" ht="26.25" customHeight="1" x14ac:dyDescent="0.4">
      <c r="A66" s="145" t="s">
        <v>103</v>
      </c>
      <c r="B66" s="146">
        <v>1</v>
      </c>
      <c r="C66" s="344"/>
      <c r="D66" s="347"/>
      <c r="E66" s="206">
        <v>3</v>
      </c>
      <c r="F66" s="158">
        <v>37113237</v>
      </c>
      <c r="G66" s="293">
        <f>IF(ISBLANK(F66),"-",(F66/$D$50*$D$47*$B$68)*($B$57/$D$64))</f>
        <v>113.14396392652537</v>
      </c>
      <c r="H66" s="212">
        <f t="shared" si="0"/>
        <v>0.90515171141220296</v>
      </c>
    </row>
    <row r="67" spans="1:8" ht="27" customHeight="1" thickBot="1" x14ac:dyDescent="0.45">
      <c r="A67" s="145" t="s">
        <v>104</v>
      </c>
      <c r="B67" s="146">
        <v>1</v>
      </c>
      <c r="C67" s="345"/>
      <c r="D67" s="348"/>
      <c r="E67" s="209">
        <v>4</v>
      </c>
      <c r="F67" s="210"/>
      <c r="G67" s="294" t="str">
        <f>IF(ISBLANK(F67),"-",(F67/$D$50*$D$47*$B$68)*($B$57/$D$64))</f>
        <v>-</v>
      </c>
      <c r="H67" s="213" t="str">
        <f t="shared" si="0"/>
        <v>-</v>
      </c>
    </row>
    <row r="68" spans="1:8" ht="26.25" customHeight="1" x14ac:dyDescent="0.4">
      <c r="A68" s="145" t="s">
        <v>105</v>
      </c>
      <c r="B68" s="214">
        <f>(B67/B66)*(B65/B64)*(B63/B62)*(B61/B60)*B59</f>
        <v>100</v>
      </c>
      <c r="C68" s="343" t="s">
        <v>106</v>
      </c>
      <c r="D68" s="346">
        <v>112.4</v>
      </c>
      <c r="E68" s="203">
        <v>1</v>
      </c>
      <c r="F68" s="158">
        <v>36478175</v>
      </c>
      <c r="G68" s="292">
        <f>IF(ISBLANK(F68),"-",(F68/$D$50*$D$47*$B$68)*($B$57/$D$68))</f>
        <v>115.87784498275126</v>
      </c>
      <c r="H68" s="207">
        <f>IF(ISBLANK(F68),"-",G68/$B$56)</f>
        <v>0.92702275986200999</v>
      </c>
    </row>
    <row r="69" spans="1:8" ht="27" customHeight="1" thickBot="1" x14ac:dyDescent="0.45">
      <c r="A69" s="193" t="s">
        <v>107</v>
      </c>
      <c r="B69" s="215">
        <f>(D47*B68)/B56*B57</f>
        <v>55.909100000000002</v>
      </c>
      <c r="C69" s="344"/>
      <c r="D69" s="347"/>
      <c r="E69" s="206">
        <v>2</v>
      </c>
      <c r="F69" s="158">
        <v>36370299</v>
      </c>
      <c r="G69" s="293">
        <f>IF(ISBLANK(F69),"-",(F69/$D$50*$D$47*$B$68)*($B$57/$D$68))</f>
        <v>115.53516231276136</v>
      </c>
      <c r="H69" s="207">
        <f t="shared" si="0"/>
        <v>0.92428129850209084</v>
      </c>
    </row>
    <row r="70" spans="1:8" ht="26.25" customHeight="1" x14ac:dyDescent="0.4">
      <c r="A70" s="356" t="s">
        <v>80</v>
      </c>
      <c r="B70" s="357"/>
      <c r="C70" s="344"/>
      <c r="D70" s="347"/>
      <c r="E70" s="206">
        <v>3</v>
      </c>
      <c r="F70" s="158">
        <v>36283973</v>
      </c>
      <c r="G70" s="293">
        <f>IF(ISBLANK(F70),"-",(F70/$D$50*$D$47*$B$68)*($B$57/$D$68))</f>
        <v>115.26093612556913</v>
      </c>
      <c r="H70" s="207">
        <f>IF(ISBLANK(F70),"-",G70/$B$56)</f>
        <v>0.92208748900455306</v>
      </c>
    </row>
    <row r="71" spans="1:8" ht="27" customHeight="1" thickBot="1" x14ac:dyDescent="0.45">
      <c r="A71" s="358"/>
      <c r="B71" s="359"/>
      <c r="C71" s="355"/>
      <c r="D71" s="348"/>
      <c r="E71" s="209">
        <v>4</v>
      </c>
      <c r="F71" s="210"/>
      <c r="G71" s="294" t="str">
        <f>IF(ISBLANK(F71),"-",(F71/$D$50*$D$47*$B$68)*($B$57/$D$68))</f>
        <v>-</v>
      </c>
      <c r="H71" s="216" t="str">
        <f t="shared" si="0"/>
        <v>-</v>
      </c>
    </row>
    <row r="72" spans="1:8" ht="26.25" customHeight="1" x14ac:dyDescent="0.4">
      <c r="A72" s="243"/>
      <c r="B72" s="243"/>
      <c r="C72" s="243"/>
      <c r="D72" s="243"/>
      <c r="E72" s="243"/>
      <c r="F72" s="243"/>
      <c r="G72" s="219" t="s">
        <v>73</v>
      </c>
      <c r="H72" s="220">
        <f>AVERAGE(H60:H71)</f>
        <v>0.91524624310031144</v>
      </c>
    </row>
    <row r="73" spans="1:8" ht="26.25" customHeight="1" x14ac:dyDescent="0.4">
      <c r="C73" s="243"/>
      <c r="D73" s="243"/>
      <c r="E73" s="243"/>
      <c r="F73" s="243"/>
      <c r="G73" s="221" t="s">
        <v>86</v>
      </c>
      <c r="H73" s="295">
        <f>STDEV(H60:H71)/H72</f>
        <v>1.0832490667643978E-2</v>
      </c>
    </row>
    <row r="74" spans="1:8" ht="27" customHeight="1" thickBot="1" x14ac:dyDescent="0.45">
      <c r="A74" s="243"/>
      <c r="B74" s="243"/>
      <c r="C74" s="243"/>
      <c r="D74" s="243"/>
      <c r="E74" s="222"/>
      <c r="F74" s="243"/>
      <c r="G74" s="223" t="s">
        <v>18</v>
      </c>
      <c r="H74" s="224">
        <f>COUNT(H60:H71)</f>
        <v>9</v>
      </c>
    </row>
    <row r="76" spans="1:8" ht="26.25" customHeight="1" x14ac:dyDescent="0.4">
      <c r="A76" s="281" t="s">
        <v>108</v>
      </c>
      <c r="B76" s="237" t="s">
        <v>109</v>
      </c>
      <c r="C76" s="351" t="str">
        <f>B20</f>
        <v>Amoxicillin and Clavulanic Acid</v>
      </c>
      <c r="D76" s="351"/>
      <c r="E76" s="226" t="s">
        <v>110</v>
      </c>
      <c r="F76" s="226"/>
      <c r="G76" s="227">
        <f>H72</f>
        <v>0.91524624310031144</v>
      </c>
      <c r="H76" s="302"/>
    </row>
    <row r="77" spans="1:8" ht="18.75" x14ac:dyDescent="0.3">
      <c r="A77" s="128" t="s">
        <v>111</v>
      </c>
      <c r="B77" s="128" t="s">
        <v>112</v>
      </c>
    </row>
    <row r="78" spans="1:8" ht="18.75" x14ac:dyDescent="0.3">
      <c r="A78" s="128"/>
      <c r="B78" s="128"/>
    </row>
    <row r="79" spans="1:8" ht="26.25" customHeight="1" x14ac:dyDescent="0.4">
      <c r="A79" s="281" t="s">
        <v>4</v>
      </c>
      <c r="B79" s="337" t="str">
        <f>B26</f>
        <v>Clavulanate Potassium</v>
      </c>
      <c r="C79" s="337"/>
    </row>
    <row r="80" spans="1:8" ht="26.25" customHeight="1" x14ac:dyDescent="0.4">
      <c r="A80" s="237" t="s">
        <v>50</v>
      </c>
      <c r="B80" s="337" t="str">
        <f>B27</f>
        <v>Clav-Ih 13</v>
      </c>
      <c r="C80" s="337"/>
    </row>
    <row r="81" spans="1:12" ht="27" customHeight="1" thickBot="1" x14ac:dyDescent="0.45">
      <c r="A81" s="237" t="s">
        <v>5</v>
      </c>
      <c r="B81" s="229">
        <f>B28</f>
        <v>41.65</v>
      </c>
    </row>
    <row r="82" spans="1:12" s="16" customFormat="1" ht="27" customHeight="1" thickBot="1" x14ac:dyDescent="0.45">
      <c r="A82" s="237" t="s">
        <v>51</v>
      </c>
      <c r="B82" s="132">
        <v>0</v>
      </c>
      <c r="C82" s="328" t="s">
        <v>52</v>
      </c>
      <c r="D82" s="329"/>
      <c r="E82" s="329"/>
      <c r="F82" s="329"/>
      <c r="G82" s="330"/>
      <c r="I82" s="133"/>
      <c r="J82" s="133"/>
      <c r="K82" s="133"/>
      <c r="L82" s="133"/>
    </row>
    <row r="83" spans="1:12" s="16" customFormat="1" ht="19.5" customHeight="1" thickBot="1" x14ac:dyDescent="0.35">
      <c r="A83" s="237" t="s">
        <v>53</v>
      </c>
      <c r="B83" s="302">
        <f>B81-B82</f>
        <v>41.65</v>
      </c>
      <c r="C83" s="135"/>
      <c r="D83" s="135"/>
      <c r="E83" s="135"/>
      <c r="F83" s="135"/>
      <c r="G83" s="136"/>
      <c r="I83" s="133"/>
      <c r="J83" s="133"/>
      <c r="K83" s="133"/>
      <c r="L83" s="133"/>
    </row>
    <row r="84" spans="1:12" s="16" customFormat="1" ht="27" customHeight="1" thickBot="1" x14ac:dyDescent="0.45">
      <c r="A84" s="237" t="s">
        <v>54</v>
      </c>
      <c r="B84" s="137">
        <v>1</v>
      </c>
      <c r="C84" s="331" t="s">
        <v>113</v>
      </c>
      <c r="D84" s="332"/>
      <c r="E84" s="332"/>
      <c r="F84" s="332"/>
      <c r="G84" s="332"/>
      <c r="H84" s="333"/>
      <c r="I84" s="133"/>
      <c r="J84" s="133"/>
      <c r="K84" s="133"/>
      <c r="L84" s="133"/>
    </row>
    <row r="85" spans="1:12" s="16" customFormat="1" ht="27" customHeight="1" thickBot="1" x14ac:dyDescent="0.45">
      <c r="A85" s="237" t="s">
        <v>56</v>
      </c>
      <c r="B85" s="137">
        <v>1</v>
      </c>
      <c r="C85" s="331" t="s">
        <v>114</v>
      </c>
      <c r="D85" s="332"/>
      <c r="E85" s="332"/>
      <c r="F85" s="332"/>
      <c r="G85" s="332"/>
      <c r="H85" s="333"/>
      <c r="I85" s="133"/>
      <c r="J85" s="133"/>
      <c r="K85" s="133"/>
      <c r="L85" s="133"/>
    </row>
    <row r="86" spans="1:12" s="16" customFormat="1" ht="18.75" x14ac:dyDescent="0.3">
      <c r="A86" s="237"/>
      <c r="B86" s="140"/>
      <c r="C86" s="141"/>
      <c r="D86" s="141"/>
      <c r="E86" s="141"/>
      <c r="F86" s="141"/>
      <c r="G86" s="141"/>
      <c r="H86" s="141"/>
      <c r="I86" s="133"/>
      <c r="J86" s="133"/>
      <c r="K86" s="133"/>
      <c r="L86" s="133"/>
    </row>
    <row r="87" spans="1:12" s="16" customFormat="1" ht="18.75" x14ac:dyDescent="0.3">
      <c r="A87" s="237" t="s">
        <v>58</v>
      </c>
      <c r="B87" s="142">
        <f>B84/B85</f>
        <v>1</v>
      </c>
      <c r="C87" s="226" t="s">
        <v>59</v>
      </c>
      <c r="D87" s="226"/>
      <c r="E87" s="226"/>
      <c r="F87" s="226"/>
      <c r="G87" s="226"/>
      <c r="I87" s="133"/>
      <c r="J87" s="133"/>
      <c r="K87" s="133"/>
      <c r="L87" s="133"/>
    </row>
    <row r="88" spans="1:12" ht="19.5" customHeight="1" thickBot="1" x14ac:dyDescent="0.35">
      <c r="A88" s="128"/>
      <c r="B88" s="128"/>
    </row>
    <row r="89" spans="1:12" ht="27" customHeight="1" thickBot="1" x14ac:dyDescent="0.45">
      <c r="A89" s="143" t="s">
        <v>60</v>
      </c>
      <c r="B89" s="144">
        <v>50</v>
      </c>
      <c r="D89" s="304" t="s">
        <v>61</v>
      </c>
      <c r="E89" s="307"/>
      <c r="F89" s="334" t="s">
        <v>62</v>
      </c>
      <c r="G89" s="336"/>
    </row>
    <row r="90" spans="1:12" ht="27" customHeight="1" thickBot="1" x14ac:dyDescent="0.45">
      <c r="A90" s="145" t="s">
        <v>63</v>
      </c>
      <c r="B90" s="146">
        <v>1</v>
      </c>
      <c r="C90" s="303" t="s">
        <v>64</v>
      </c>
      <c r="D90" s="148" t="s">
        <v>65</v>
      </c>
      <c r="E90" s="149" t="s">
        <v>66</v>
      </c>
      <c r="F90" s="148" t="s">
        <v>65</v>
      </c>
      <c r="G90" s="233" t="s">
        <v>66</v>
      </c>
      <c r="I90" s="151" t="s">
        <v>67</v>
      </c>
    </row>
    <row r="91" spans="1:12" ht="26.25" customHeight="1" x14ac:dyDescent="0.4">
      <c r="A91" s="145" t="s">
        <v>68</v>
      </c>
      <c r="B91" s="146">
        <v>1</v>
      </c>
      <c r="C91" s="234">
        <v>1</v>
      </c>
      <c r="D91" s="153">
        <v>37617445</v>
      </c>
      <c r="E91" s="154">
        <f>IF(ISBLANK(D91),"-",$D$101/$D$98*D91)</f>
        <v>43525905.620170802</v>
      </c>
      <c r="F91" s="153">
        <v>39935413</v>
      </c>
      <c r="G91" s="155">
        <f>IF(ISBLANK(F91),"-",$D$101/$F$98*F91)</f>
        <v>43634112.666473322</v>
      </c>
      <c r="I91" s="156"/>
    </row>
    <row r="92" spans="1:12" ht="26.25" customHeight="1" x14ac:dyDescent="0.4">
      <c r="A92" s="145" t="s">
        <v>69</v>
      </c>
      <c r="B92" s="146">
        <v>1</v>
      </c>
      <c r="C92" s="243">
        <v>2</v>
      </c>
      <c r="D92" s="158">
        <v>37438258</v>
      </c>
      <c r="E92" s="159">
        <f>IF(ISBLANK(D92),"-",$D$101/$D$98*D92)</f>
        <v>43318574.249038033</v>
      </c>
      <c r="F92" s="158">
        <v>39902981</v>
      </c>
      <c r="G92" s="160">
        <f>IF(ISBLANK(F92),"-",$D$101/$F$98*F92)</f>
        <v>43598676.910694383</v>
      </c>
      <c r="I92" s="338">
        <f>ABS((F96/D96*D95)-F95)/D95</f>
        <v>6.5215707502407714E-3</v>
      </c>
    </row>
    <row r="93" spans="1:12" ht="26.25" customHeight="1" x14ac:dyDescent="0.4">
      <c r="A93" s="145" t="s">
        <v>70</v>
      </c>
      <c r="B93" s="146">
        <v>1</v>
      </c>
      <c r="C93" s="243">
        <v>3</v>
      </c>
      <c r="D93" s="158">
        <v>37372148</v>
      </c>
      <c r="E93" s="159">
        <f>IF(ISBLANK(D93),"-",$D$101/$D$98*D93)</f>
        <v>43242080.547231615</v>
      </c>
      <c r="F93" s="158">
        <v>39954424</v>
      </c>
      <c r="G93" s="160">
        <f>IF(ISBLANK(F93),"-",$D$101/$F$98*F93)</f>
        <v>43654884.408984222</v>
      </c>
      <c r="I93" s="338"/>
    </row>
    <row r="94" spans="1:12" ht="27" customHeight="1" thickBot="1" x14ac:dyDescent="0.45">
      <c r="A94" s="145" t="s">
        <v>71</v>
      </c>
      <c r="B94" s="146">
        <v>1</v>
      </c>
      <c r="C94" s="235">
        <v>4</v>
      </c>
      <c r="D94" s="163"/>
      <c r="E94" s="164" t="str">
        <f>IF(ISBLANK(D94),"-",$D$101/$D$98*D94)</f>
        <v>-</v>
      </c>
      <c r="F94" s="236"/>
      <c r="G94" s="165" t="str">
        <f>IF(ISBLANK(F94),"-",$D$101/$F$98*F94)</f>
        <v>-</v>
      </c>
      <c r="I94" s="166"/>
    </row>
    <row r="95" spans="1:12" ht="27" customHeight="1" thickBot="1" x14ac:dyDescent="0.45">
      <c r="A95" s="145" t="s">
        <v>72</v>
      </c>
      <c r="B95" s="146">
        <v>1</v>
      </c>
      <c r="C95" s="237" t="s">
        <v>73</v>
      </c>
      <c r="D95" s="308">
        <f>AVERAGE(D91:D94)</f>
        <v>37475950.333333336</v>
      </c>
      <c r="E95" s="169">
        <f>AVERAGE(E91:E94)</f>
        <v>43362186.805480152</v>
      </c>
      <c r="F95" s="309">
        <f>AVERAGE(F91:F94)</f>
        <v>39930939.333333336</v>
      </c>
      <c r="G95" s="238">
        <f>AVERAGE(G91:G94)</f>
        <v>43629224.662050642</v>
      </c>
    </row>
    <row r="96" spans="1:12" ht="26.25" customHeight="1" x14ac:dyDescent="0.4">
      <c r="A96" s="145" t="s">
        <v>74</v>
      </c>
      <c r="B96" s="229">
        <v>1</v>
      </c>
      <c r="C96" s="239" t="s">
        <v>115</v>
      </c>
      <c r="D96" s="240">
        <v>14.41</v>
      </c>
      <c r="E96" s="226"/>
      <c r="F96" s="173">
        <v>15.26</v>
      </c>
    </row>
    <row r="97" spans="1:10" ht="26.25" customHeight="1" x14ac:dyDescent="0.4">
      <c r="A97" s="145" t="s">
        <v>76</v>
      </c>
      <c r="B97" s="229">
        <v>1</v>
      </c>
      <c r="C97" s="241" t="s">
        <v>116</v>
      </c>
      <c r="D97" s="242">
        <f>D96*$B$87</f>
        <v>14.41</v>
      </c>
      <c r="E97" s="243"/>
      <c r="F97" s="175">
        <f>F96*$B$87</f>
        <v>15.26</v>
      </c>
    </row>
    <row r="98" spans="1:10" ht="19.5" customHeight="1" thickBot="1" x14ac:dyDescent="0.35">
      <c r="A98" s="145" t="s">
        <v>78</v>
      </c>
      <c r="B98" s="243">
        <f>(B97/B96)*(B95/B94)*(B93/B92)*(B91/B90)*B89</f>
        <v>50</v>
      </c>
      <c r="C98" s="241" t="s">
        <v>117</v>
      </c>
      <c r="D98" s="244">
        <f>D97*$B$83/100</f>
        <v>6.0017650000000007</v>
      </c>
      <c r="E98" s="222"/>
      <c r="F98" s="178">
        <f>F97*$B$83/100</f>
        <v>6.3557899999999998</v>
      </c>
    </row>
    <row r="99" spans="1:10" ht="19.5" customHeight="1" thickBot="1" x14ac:dyDescent="0.35">
      <c r="A99" s="339" t="s">
        <v>80</v>
      </c>
      <c r="B99" s="353"/>
      <c r="C99" s="241" t="s">
        <v>118</v>
      </c>
      <c r="D99" s="245">
        <f>D98/$B$98</f>
        <v>0.12003530000000001</v>
      </c>
      <c r="E99" s="222"/>
      <c r="F99" s="182">
        <f>F98/$B$98</f>
        <v>0.1271158</v>
      </c>
      <c r="H99" s="171"/>
    </row>
    <row r="100" spans="1:10" ht="19.5" customHeight="1" thickBot="1" x14ac:dyDescent="0.35">
      <c r="A100" s="341"/>
      <c r="B100" s="354"/>
      <c r="C100" s="241" t="s">
        <v>82</v>
      </c>
      <c r="D100" s="247">
        <f>$B$56/$B$116</f>
        <v>0.1388888888888889</v>
      </c>
      <c r="F100" s="187"/>
      <c r="G100" s="254"/>
      <c r="H100" s="171"/>
    </row>
    <row r="101" spans="1:10" ht="18.75" x14ac:dyDescent="0.3">
      <c r="C101" s="241" t="s">
        <v>83</v>
      </c>
      <c r="D101" s="242">
        <f>D100*$B$98</f>
        <v>6.9444444444444446</v>
      </c>
      <c r="F101" s="187"/>
      <c r="H101" s="171"/>
    </row>
    <row r="102" spans="1:10" ht="19.5" customHeight="1" thickBot="1" x14ac:dyDescent="0.35">
      <c r="C102" s="249" t="s">
        <v>84</v>
      </c>
      <c r="D102" s="250">
        <f>D101/B34</f>
        <v>6.9444444444444446</v>
      </c>
      <c r="F102" s="191"/>
      <c r="H102" s="171"/>
      <c r="J102" s="251"/>
    </row>
    <row r="103" spans="1:10" ht="18.75" x14ac:dyDescent="0.3">
      <c r="C103" s="252" t="s">
        <v>119</v>
      </c>
      <c r="D103" s="253">
        <f>AVERAGE(E91:E94,G91:G94)</f>
        <v>43495705.733765401</v>
      </c>
      <c r="F103" s="191"/>
      <c r="G103" s="254"/>
      <c r="H103" s="171"/>
      <c r="J103" s="255"/>
    </row>
    <row r="104" spans="1:10" ht="18.75" x14ac:dyDescent="0.3">
      <c r="C104" s="221" t="s">
        <v>86</v>
      </c>
      <c r="D104" s="256">
        <f>STDEV(E91:E94,G91:G94)/D103</f>
        <v>4.0047624183958356E-3</v>
      </c>
      <c r="F104" s="191"/>
      <c r="H104" s="171"/>
      <c r="J104" s="255"/>
    </row>
    <row r="105" spans="1:10" ht="19.5" customHeight="1" thickBot="1" x14ac:dyDescent="0.35">
      <c r="C105" s="223" t="s">
        <v>18</v>
      </c>
      <c r="D105" s="257">
        <f>COUNT(E91:E94,G91:G94)</f>
        <v>6</v>
      </c>
      <c r="F105" s="191"/>
      <c r="H105" s="171"/>
      <c r="J105" s="255"/>
    </row>
    <row r="106" spans="1:10" ht="19.5" customHeight="1" thickBot="1" x14ac:dyDescent="0.35">
      <c r="A106" s="195"/>
      <c r="B106" s="195"/>
      <c r="C106" s="195"/>
      <c r="D106" s="195"/>
      <c r="E106" s="195"/>
    </row>
    <row r="107" spans="1:10" ht="26.25" customHeight="1" x14ac:dyDescent="0.4">
      <c r="A107" s="143" t="s">
        <v>120</v>
      </c>
      <c r="B107" s="144">
        <v>900</v>
      </c>
      <c r="C107" s="304" t="s">
        <v>39</v>
      </c>
      <c r="D107" s="259" t="s">
        <v>65</v>
      </c>
      <c r="E107" s="260" t="s">
        <v>121</v>
      </c>
      <c r="F107" s="261" t="s">
        <v>122</v>
      </c>
    </row>
    <row r="108" spans="1:10" ht="26.25" customHeight="1" x14ac:dyDescent="0.4">
      <c r="A108" s="145" t="s">
        <v>123</v>
      </c>
      <c r="B108" s="146">
        <v>1</v>
      </c>
      <c r="C108" s="262">
        <v>1</v>
      </c>
      <c r="D108" s="310"/>
      <c r="E108" s="296" t="str">
        <f>IF(ISBLANK(D108),"-",D108/$D$103*$D$100*$B$116)</f>
        <v>-</v>
      </c>
      <c r="F108" s="263" t="str">
        <f>IF(ISBLANK(D108), "-", E108/$B$56)</f>
        <v>-</v>
      </c>
    </row>
    <row r="109" spans="1:10" ht="26.25" customHeight="1" x14ac:dyDescent="0.4">
      <c r="A109" s="145" t="s">
        <v>97</v>
      </c>
      <c r="B109" s="146">
        <v>1</v>
      </c>
      <c r="C109" s="262">
        <v>2</v>
      </c>
      <c r="D109" s="310">
        <v>37892323</v>
      </c>
      <c r="E109" s="297">
        <f>IF(ISBLANK(D109),"-",D109/$D$103*$D$100*$B$116)</f>
        <v>108.89673578334559</v>
      </c>
      <c r="F109" s="264">
        <f>IF(ISBLANK(D109), "-", E109/$B$56)</f>
        <v>0.87117388626676473</v>
      </c>
    </row>
    <row r="110" spans="1:10" ht="26.25" customHeight="1" x14ac:dyDescent="0.4">
      <c r="A110" s="145" t="s">
        <v>98</v>
      </c>
      <c r="B110" s="146">
        <v>1</v>
      </c>
      <c r="C110" s="262">
        <v>3</v>
      </c>
      <c r="D110" s="310">
        <v>36812463</v>
      </c>
      <c r="E110" s="297">
        <f>IF(ISBLANK(D110),"-",D110/$D$103*$D$100*$B$116)</f>
        <v>105.79338344722717</v>
      </c>
      <c r="F110" s="264">
        <f>IF(ISBLANK(D110), "-", E110/$B$56)</f>
        <v>0.84634706757781741</v>
      </c>
    </row>
    <row r="111" spans="1:10" ht="26.25" customHeight="1" x14ac:dyDescent="0.4">
      <c r="A111" s="145" t="s">
        <v>99</v>
      </c>
      <c r="B111" s="146">
        <v>1</v>
      </c>
      <c r="C111" s="262">
        <v>4</v>
      </c>
      <c r="D111" s="310">
        <v>38346103</v>
      </c>
      <c r="E111" s="297">
        <f>IF(ISBLANK(D111),"-",D111/$D$103*$D$100*$B$116)</f>
        <v>110.20083003916005</v>
      </c>
      <c r="F111" s="264">
        <f>IF(ISBLANK(D111), "-", E111/$B$56)</f>
        <v>0.8816066403132804</v>
      </c>
    </row>
    <row r="112" spans="1:10" ht="26.25" customHeight="1" x14ac:dyDescent="0.4">
      <c r="A112" s="145" t="s">
        <v>100</v>
      </c>
      <c r="B112" s="146">
        <v>1</v>
      </c>
      <c r="C112" s="262">
        <v>5</v>
      </c>
      <c r="D112" s="310">
        <v>38221780</v>
      </c>
      <c r="E112" s="297">
        <f>IF(ISBLANK(D112),"-",D112/$D$103*$D$100*$B$116)</f>
        <v>109.84354476839972</v>
      </c>
      <c r="F112" s="264">
        <f>IF(ISBLANK(D112), "-", E112/$B$56)</f>
        <v>0.87874835814719776</v>
      </c>
    </row>
    <row r="113" spans="1:10" ht="26.25" customHeight="1" x14ac:dyDescent="0.4">
      <c r="A113" s="145" t="s">
        <v>102</v>
      </c>
      <c r="B113" s="146">
        <v>1</v>
      </c>
      <c r="C113" s="265">
        <v>6</v>
      </c>
      <c r="D113" s="311">
        <v>38080582</v>
      </c>
      <c r="E113" s="298">
        <f>IF(ISBLANK(D113),"-",D113/$D$103*$D$100*$B$116)</f>
        <v>109.4377633308474</v>
      </c>
      <c r="F113" s="266">
        <f>IF(ISBLANK(D113), "-", E113/$B$56)</f>
        <v>0.87550210664677919</v>
      </c>
    </row>
    <row r="114" spans="1:10" ht="26.25" customHeight="1" x14ac:dyDescent="0.4">
      <c r="A114" s="145" t="s">
        <v>103</v>
      </c>
      <c r="B114" s="146">
        <v>1</v>
      </c>
      <c r="C114" s="262"/>
      <c r="D114" s="243"/>
      <c r="E114" s="226"/>
      <c r="F114" s="267"/>
    </row>
    <row r="115" spans="1:10" ht="26.25" customHeight="1" x14ac:dyDescent="0.4">
      <c r="A115" s="145" t="s">
        <v>104</v>
      </c>
      <c r="B115" s="146">
        <v>1</v>
      </c>
      <c r="C115" s="262"/>
      <c r="D115" s="268"/>
      <c r="E115" s="269" t="s">
        <v>73</v>
      </c>
      <c r="F115" s="270">
        <f>AVERAGE(F108:F113)</f>
        <v>0.87067561179036801</v>
      </c>
    </row>
    <row r="116" spans="1:10" ht="27" customHeight="1" thickBot="1" x14ac:dyDescent="0.45">
      <c r="A116" s="145" t="s">
        <v>105</v>
      </c>
      <c r="B116" s="177">
        <f>(B115/B114)*(B113/B112)*(B111/B110)*(B109/B108)*B107</f>
        <v>900</v>
      </c>
      <c r="C116" s="271"/>
      <c r="D116" s="272"/>
      <c r="E116" s="237" t="s">
        <v>86</v>
      </c>
      <c r="F116" s="273">
        <f>STDEV(F108:F113)/F115</f>
        <v>1.6243506708344155E-2</v>
      </c>
      <c r="I116" s="226"/>
    </row>
    <row r="117" spans="1:10" ht="27" customHeight="1" thickBot="1" x14ac:dyDescent="0.45">
      <c r="A117" s="339" t="s">
        <v>80</v>
      </c>
      <c r="B117" s="340"/>
      <c r="C117" s="274"/>
      <c r="D117" s="275"/>
      <c r="E117" s="276" t="s">
        <v>18</v>
      </c>
      <c r="F117" s="277">
        <f>COUNT(F108:F113)</f>
        <v>5</v>
      </c>
      <c r="I117" s="226"/>
      <c r="J117" s="255"/>
    </row>
    <row r="118" spans="1:10" ht="19.5" customHeight="1" thickBot="1" x14ac:dyDescent="0.35">
      <c r="A118" s="341"/>
      <c r="B118" s="342"/>
      <c r="C118" s="226"/>
      <c r="D118" s="226"/>
      <c r="E118" s="226"/>
      <c r="F118" s="243"/>
      <c r="G118" s="226"/>
      <c r="H118" s="226"/>
      <c r="I118" s="226"/>
    </row>
    <row r="119" spans="1:10" ht="18.75" x14ac:dyDescent="0.3">
      <c r="A119" s="286"/>
      <c r="B119" s="141"/>
      <c r="C119" s="226"/>
      <c r="D119" s="226"/>
      <c r="E119" s="226"/>
      <c r="F119" s="243"/>
      <c r="G119" s="226"/>
      <c r="H119" s="226"/>
      <c r="I119" s="226"/>
    </row>
    <row r="120" spans="1:10" ht="26.25" customHeight="1" x14ac:dyDescent="0.4">
      <c r="A120" s="281" t="s">
        <v>108</v>
      </c>
      <c r="B120" s="237" t="s">
        <v>124</v>
      </c>
      <c r="C120" s="351" t="str">
        <f>B20</f>
        <v>Amoxicillin and Clavulanic Acid</v>
      </c>
      <c r="D120" s="351"/>
      <c r="E120" s="226" t="s">
        <v>125</v>
      </c>
      <c r="F120" s="226"/>
      <c r="G120" s="227">
        <f>F115</f>
        <v>0.87067561179036801</v>
      </c>
      <c r="H120" s="226"/>
      <c r="I120" s="226"/>
    </row>
    <row r="121" spans="1:10" ht="19.5" customHeight="1" thickBot="1" x14ac:dyDescent="0.35">
      <c r="A121" s="305"/>
      <c r="B121" s="305"/>
      <c r="C121" s="279"/>
      <c r="D121" s="279"/>
      <c r="E121" s="279"/>
      <c r="F121" s="279"/>
      <c r="G121" s="279"/>
      <c r="H121" s="279"/>
    </row>
    <row r="122" spans="1:10" ht="18.75" x14ac:dyDescent="0.3">
      <c r="B122" s="352" t="s">
        <v>24</v>
      </c>
      <c r="C122" s="352"/>
      <c r="E122" s="303" t="s">
        <v>25</v>
      </c>
      <c r="F122" s="280"/>
      <c r="G122" s="352" t="s">
        <v>26</v>
      </c>
      <c r="H122" s="352"/>
    </row>
    <row r="123" spans="1:10" ht="69.95" customHeight="1" x14ac:dyDescent="0.3">
      <c r="A123" s="281" t="s">
        <v>27</v>
      </c>
      <c r="B123" s="283"/>
      <c r="C123" s="283"/>
      <c r="E123" s="283"/>
      <c r="F123" s="226"/>
      <c r="G123" s="283"/>
      <c r="H123" s="283"/>
    </row>
    <row r="124" spans="1:10" ht="69.95" customHeight="1" x14ac:dyDescent="0.3">
      <c r="A124" s="281" t="s">
        <v>28</v>
      </c>
      <c r="B124" s="284"/>
      <c r="C124" s="284"/>
      <c r="E124" s="284"/>
      <c r="F124" s="226"/>
      <c r="G124" s="285"/>
      <c r="H124" s="285"/>
    </row>
    <row r="125" spans="1:10" ht="18.75" x14ac:dyDescent="0.3">
      <c r="A125" s="243"/>
      <c r="B125" s="243"/>
      <c r="C125" s="243"/>
      <c r="D125" s="243"/>
      <c r="E125" s="243"/>
      <c r="F125" s="222"/>
      <c r="G125" s="243"/>
      <c r="H125" s="243"/>
      <c r="I125" s="226"/>
    </row>
    <row r="126" spans="1:10" ht="18.75" x14ac:dyDescent="0.3">
      <c r="A126" s="243"/>
      <c r="B126" s="243"/>
      <c r="C126" s="243"/>
      <c r="D126" s="243"/>
      <c r="E126" s="243"/>
      <c r="F126" s="222"/>
      <c r="G126" s="243"/>
      <c r="H126" s="243"/>
      <c r="I126" s="226"/>
    </row>
    <row r="127" spans="1:10" ht="18.75" x14ac:dyDescent="0.3">
      <c r="A127" s="243"/>
      <c r="B127" s="243"/>
      <c r="C127" s="243"/>
      <c r="D127" s="243"/>
      <c r="E127" s="243"/>
      <c r="F127" s="222"/>
      <c r="G127" s="243"/>
      <c r="H127" s="243"/>
      <c r="I127" s="226"/>
    </row>
    <row r="128" spans="1:10" ht="18.75" x14ac:dyDescent="0.3">
      <c r="A128" s="243"/>
      <c r="B128" s="243"/>
      <c r="C128" s="243"/>
      <c r="D128" s="243"/>
      <c r="E128" s="243"/>
      <c r="F128" s="222"/>
      <c r="G128" s="243"/>
      <c r="H128" s="243"/>
      <c r="I128" s="226"/>
    </row>
    <row r="129" spans="1:9" ht="18.75" x14ac:dyDescent="0.3">
      <c r="A129" s="243"/>
      <c r="B129" s="243"/>
      <c r="C129" s="243"/>
      <c r="D129" s="243"/>
      <c r="E129" s="243"/>
      <c r="F129" s="222"/>
      <c r="G129" s="243"/>
      <c r="H129" s="243"/>
      <c r="I129" s="226"/>
    </row>
    <row r="130" spans="1:9" ht="18.75" x14ac:dyDescent="0.3">
      <c r="A130" s="243"/>
      <c r="B130" s="243"/>
      <c r="C130" s="243"/>
      <c r="D130" s="243"/>
      <c r="E130" s="243"/>
      <c r="F130" s="222"/>
      <c r="G130" s="243"/>
      <c r="H130" s="243"/>
      <c r="I130" s="226"/>
    </row>
    <row r="131" spans="1:9" ht="18.75" x14ac:dyDescent="0.3">
      <c r="A131" s="243"/>
      <c r="B131" s="243"/>
      <c r="C131" s="243"/>
      <c r="D131" s="243"/>
      <c r="E131" s="243"/>
      <c r="F131" s="222"/>
      <c r="G131" s="243"/>
      <c r="H131" s="243"/>
      <c r="I131" s="226"/>
    </row>
    <row r="132" spans="1:9" ht="18.75" x14ac:dyDescent="0.3">
      <c r="A132" s="243"/>
      <c r="B132" s="243"/>
      <c r="C132" s="243"/>
      <c r="D132" s="243"/>
      <c r="E132" s="243"/>
      <c r="F132" s="222"/>
      <c r="G132" s="243"/>
      <c r="H132" s="243"/>
      <c r="I132" s="226"/>
    </row>
    <row r="133" spans="1:9" ht="18.75" x14ac:dyDescent="0.3">
      <c r="A133" s="243"/>
      <c r="B133" s="243"/>
      <c r="C133" s="243"/>
      <c r="D133" s="243"/>
      <c r="E133" s="243"/>
      <c r="F133" s="222"/>
      <c r="G133" s="243"/>
      <c r="H133" s="243"/>
      <c r="I133" s="226"/>
    </row>
    <row r="250" spans="1:1" x14ac:dyDescent="0.25">
      <c r="A250" s="246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I92:I93"/>
    <mergeCell ref="A99:B100"/>
    <mergeCell ref="A117:B118"/>
    <mergeCell ref="C120:D120"/>
    <mergeCell ref="B122:C122"/>
    <mergeCell ref="G122:H122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SST</vt:lpstr>
      <vt:lpstr>Uniformity</vt:lpstr>
      <vt:lpstr>Amoxicillin</vt:lpstr>
      <vt:lpstr>SST (2)</vt:lpstr>
      <vt:lpstr>Uniformity (3)</vt:lpstr>
      <vt:lpstr>Clavulanic Acid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Jane Matundura</cp:lastModifiedBy>
  <cp:lastPrinted>2015-07-01T12:59:29Z</cp:lastPrinted>
  <dcterms:created xsi:type="dcterms:W3CDTF">2005-07-05T10:19:27Z</dcterms:created>
  <dcterms:modified xsi:type="dcterms:W3CDTF">2015-07-01T13:00:43Z</dcterms:modified>
</cp:coreProperties>
</file>