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Rutto\September 2016\"/>
    </mc:Choice>
  </mc:AlternateContent>
  <bookViews>
    <workbookView xWindow="390" yWindow="525" windowWidth="20775" windowHeight="11445" activeTab="3"/>
  </bookViews>
  <sheets>
    <sheet name="SST" sheetId="1" r:id="rId1"/>
    <sheet name="Uniformity" sheetId="2" r:id="rId2"/>
    <sheet name="Sumatriptan" sheetId="3" r:id="rId3"/>
    <sheet name="Weight Var." sheetId="4" r:id="rId4"/>
  </sheets>
  <definedNames>
    <definedName name="_xlnm.Print_Area" localSheetId="0">SST!$A$15:$G$61</definedName>
    <definedName name="_xlnm.Print_Area" localSheetId="2">Sumatriptan!$A$1:$I$124</definedName>
    <definedName name="_xlnm.Print_Area" localSheetId="1">Uniformity!$A$12:$G$54</definedName>
    <definedName name="_xlnm.Print_Area" localSheetId="3">'Weight Var.'!$A$1:$G$49</definedName>
  </definedNames>
  <calcPr calcId="152511"/>
</workbook>
</file>

<file path=xl/calcChain.xml><?xml version="1.0" encoding="utf-8"?>
<calcChain xmlns="http://schemas.openxmlformats.org/spreadsheetml/2006/main">
  <c r="B21" i="1" l="1"/>
  <c r="C43" i="4"/>
  <c r="C41" i="4"/>
  <c r="D37" i="4" s="1"/>
  <c r="C27" i="4"/>
  <c r="B26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D50" i="2"/>
  <c r="D49" i="2"/>
  <c r="C46" i="2"/>
  <c r="C50" i="2" s="1"/>
  <c r="C45" i="2"/>
  <c r="D42" i="2"/>
  <c r="D40" i="2"/>
  <c r="D38" i="2"/>
  <c r="D37" i="2"/>
  <c r="D34" i="2"/>
  <c r="D33" i="2"/>
  <c r="D32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57" i="3" l="1"/>
  <c r="B57" i="4"/>
  <c r="D26" i="2"/>
  <c r="D30" i="2"/>
  <c r="D36" i="2"/>
  <c r="D41" i="2"/>
  <c r="B49" i="2"/>
  <c r="I92" i="3"/>
  <c r="D101" i="3"/>
  <c r="D102" i="3" s="1"/>
  <c r="F97" i="3"/>
  <c r="F98" i="3" s="1"/>
  <c r="F99" i="3" s="1"/>
  <c r="D30" i="4"/>
  <c r="D36" i="4"/>
  <c r="D38" i="4"/>
  <c r="D35" i="4"/>
  <c r="D33" i="4"/>
  <c r="C42" i="4"/>
  <c r="B69" i="3"/>
  <c r="I39" i="3"/>
  <c r="F45" i="3"/>
  <c r="F46" i="3" s="1"/>
  <c r="D98" i="3"/>
  <c r="D99" i="3" s="1"/>
  <c r="D45" i="3"/>
  <c r="E40" i="3" s="1"/>
  <c r="G41" i="3"/>
  <c r="E41" i="3"/>
  <c r="D49" i="3"/>
  <c r="E94" i="3"/>
  <c r="D31" i="2"/>
  <c r="D35" i="2"/>
  <c r="D39" i="2"/>
  <c r="D43" i="2"/>
  <c r="C49" i="2"/>
  <c r="D31" i="4"/>
  <c r="D39" i="4"/>
  <c r="D34" i="4"/>
  <c r="D32" i="4"/>
  <c r="E39" i="3" l="1"/>
  <c r="D46" i="3"/>
  <c r="E38" i="3"/>
  <c r="E92" i="3"/>
  <c r="G91" i="3"/>
  <c r="E93" i="3"/>
  <c r="G92" i="3"/>
  <c r="G33" i="4"/>
  <c r="D43" i="4"/>
  <c r="G38" i="3"/>
  <c r="G39" i="3"/>
  <c r="G40" i="3"/>
  <c r="G93" i="3"/>
  <c r="E91" i="3"/>
  <c r="G94" i="3"/>
  <c r="E42" i="3"/>
  <c r="D41" i="4"/>
  <c r="E95" i="3" l="1"/>
  <c r="G95" i="3"/>
  <c r="D103" i="3"/>
  <c r="E111" i="3" s="1"/>
  <c r="F111" i="3" s="1"/>
  <c r="G42" i="3"/>
  <c r="D52" i="3"/>
  <c r="D50" i="3"/>
  <c r="G66" i="3" s="1"/>
  <c r="H66" i="3" s="1"/>
  <c r="D105" i="3"/>
  <c r="D104" i="3"/>
  <c r="E108" i="3"/>
  <c r="G34" i="4"/>
  <c r="G31" i="4"/>
  <c r="D42" i="4"/>
  <c r="E109" i="3" l="1"/>
  <c r="F109" i="3" s="1"/>
  <c r="E112" i="3"/>
  <c r="F112" i="3" s="1"/>
  <c r="E113" i="3"/>
  <c r="F113" i="3" s="1"/>
  <c r="E110" i="3"/>
  <c r="F110" i="3" s="1"/>
  <c r="G35" i="4"/>
  <c r="G65" i="3"/>
  <c r="H65" i="3" s="1"/>
  <c r="G70" i="3"/>
  <c r="H70" i="3" s="1"/>
  <c r="G61" i="3"/>
  <c r="H61" i="3" s="1"/>
  <c r="G60" i="3"/>
  <c r="H60" i="3" s="1"/>
  <c r="G63" i="3"/>
  <c r="H63" i="3" s="1"/>
  <c r="G64" i="3"/>
  <c r="H64" i="3" s="1"/>
  <c r="G69" i="3"/>
  <c r="H69" i="3" s="1"/>
  <c r="G68" i="3"/>
  <c r="H68" i="3" s="1"/>
  <c r="G67" i="3"/>
  <c r="H67" i="3" s="1"/>
  <c r="G62" i="3"/>
  <c r="H62" i="3" s="1"/>
  <c r="G71" i="3"/>
  <c r="H71" i="3" s="1"/>
  <c r="D51" i="3"/>
  <c r="F108" i="3"/>
  <c r="E115" i="3" l="1"/>
  <c r="E116" i="3" s="1"/>
  <c r="E117" i="3"/>
  <c r="G72" i="3"/>
  <c r="G73" i="3" s="1"/>
  <c r="G74" i="3"/>
  <c r="H74" i="3"/>
  <c r="H72" i="3"/>
  <c r="F117" i="3"/>
  <c r="F115" i="3"/>
  <c r="G120" i="3" l="1"/>
  <c r="F116" i="3"/>
  <c r="G76" i="3"/>
  <c r="H73" i="3"/>
</calcChain>
</file>

<file path=xl/sharedStrings.xml><?xml version="1.0" encoding="utf-8"?>
<sst xmlns="http://schemas.openxmlformats.org/spreadsheetml/2006/main" count="271" uniqueCount="145">
  <si>
    <t>HPLC System Suitability Report</t>
  </si>
  <si>
    <t>Analysis Data</t>
  </si>
  <si>
    <t>Assay</t>
  </si>
  <si>
    <t>Sample(s)</t>
  </si>
  <si>
    <t>Reference Substance:</t>
  </si>
  <si>
    <t xml:space="preserve">SUMAFIX 50MG </t>
  </si>
  <si>
    <t>% age Purity:</t>
  </si>
  <si>
    <t>NDQD201504211</t>
  </si>
  <si>
    <t>Weight (mg):</t>
  </si>
  <si>
    <t>Sumatriptan succinatew equivalent to sumatriptan 50mg</t>
  </si>
  <si>
    <t>Standard Conc (mg/mL):</t>
  </si>
  <si>
    <t>each tablets contaians sumatriptan succinate equivalent to sumatriptan 50mg</t>
  </si>
  <si>
    <t>2015-04-24 11:44:10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</si>
  <si>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</si>
  <si>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</si>
  <si>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</si>
  <si>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</si>
  <si>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</si>
  <si>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</si>
  <si>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</si>
  <si>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</si>
  <si>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</si>
  <si>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</si>
  <si>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</si>
  <si>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</si>
  <si>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</si>
  <si>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</si>
  <si>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</si>
  <si>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</si>
  <si>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</si>
  <si>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</si>
  <si>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</si>
  <si>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</si>
  <si>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</si>
  <si>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</si>
  <si>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</si>
  <si>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</si>
  <si>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</si>
  <si>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</si>
  <si>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</si>
  <si>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</si>
  <si>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</si>
  <si>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</si>
  <si>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</si>
  <si>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</si>
  <si>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</si>
  <si>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</si>
  <si>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</si>
  <si>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</si>
  <si>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</si>
  <si>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</si>
  <si>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</si>
  <si>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</si>
  <si>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</si>
  <si>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</si>
  <si>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</si>
  <si>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</si>
  <si>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</si>
  <si>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</si>
  <si>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</si>
  <si>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</si>
  <si>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</si>
  <si>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</si>
  <si>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</si>
  <si>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</si>
  <si>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</si>
  <si>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</si>
  <si>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</si>
  <si>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</si>
  <si>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</si>
  <si>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</si>
  <si>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</si>
  <si>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</si>
  <si>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</si>
  <si>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</si>
  <si>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</si>
  <si>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</si>
  <si>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</si>
  <si>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</si>
  <si>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</si>
  <si>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</si>
  <si>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</si>
  <si>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</si>
  <si>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</si>
  <si>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</si>
  <si>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</si>
  <si>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</si>
  <si>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</si>
  <si>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</si>
  <si>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</si>
  <si>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</si>
  <si>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</si>
  <si>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</si>
  <si>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</si>
  <si>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</si>
  <si>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</si>
  <si>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</si>
  <si>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</si>
  <si>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</si>
  <si>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</si>
  <si>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</si>
  <si>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</si>
  <si>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</si>
  <si>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</si>
  <si>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</si>
  <si>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</si>
  <si>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</si>
  <si>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</si>
  <si>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</si>
  <si>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</si>
  <si>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</si>
  <si>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</si>
  <si>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</si>
  <si>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</si>
  <si>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</si>
  <si>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</si>
  <si>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</si>
  <si>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</si>
  <si>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</si>
  <si>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</si>
  <si>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</si>
  <si>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</si>
  <si>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</si>
  <si>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</si>
  <si>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Determination of weight variation of the Sample</t>
  </si>
  <si>
    <t>Each Tablet/Capsule/vial contains</t>
  </si>
  <si>
    <t>Please enter the percentage amount determined from the Assay test</t>
  </si>
  <si>
    <t>Tablet/Capsule/Vial No.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</si>
  <si>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</si>
  <si>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</si>
  <si>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</si>
  <si>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</si>
  <si>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</si>
  <si>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</si>
  <si>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</si>
  <si>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</si>
  <si>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S39-1</t>
  </si>
  <si>
    <t>Sumatriptan succinate</t>
  </si>
  <si>
    <t xml:space="preserve">Sumatriptan </t>
  </si>
  <si>
    <t>Each uncoated tablet contains:Sumatriptan Succinate Ph.Eur.  equivalent to Sumatriptan 50mg</t>
  </si>
  <si>
    <t xml:space="preserve">          Sumatriptan succinate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</si>
  <si>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NMT 1.0%.</t>
    </r>
  </si>
  <si>
    <t>RUTTO/LORNA</t>
  </si>
  <si>
    <t>Each uncoated tablet contains:Sumatriptan Succinate Ph. Eur. Equivalent to Sumatriptan 50 mg</t>
  </si>
  <si>
    <t>17/08/2016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</si>
</sst>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9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9" fontId="11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vertical="center" wrapText="1"/>
    </xf>
    <xf numFmtId="0" fontId="11" fillId="2" borderId="23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43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73" fontId="12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" fontId="12" fillId="5" borderId="59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right"/>
      <protection locked="0"/>
    </xf>
    <xf numFmtId="0" fontId="6" fillId="2" borderId="24" xfId="0" applyFont="1" applyFill="1" applyBorder="1"/>
    <xf numFmtId="0" fontId="12" fillId="2" borderId="21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4" fillId="3" borderId="60" xfId="0" applyFont="1" applyFill="1" applyBorder="1" applyAlignment="1" applyProtection="1">
      <alignment horizontal="center" wrapText="1"/>
      <protection locked="0"/>
    </xf>
    <xf numFmtId="0" fontId="14" fillId="3" borderId="14" xfId="0" applyFont="1" applyFill="1" applyBorder="1" applyAlignment="1" applyProtection="1">
      <alignment horizontal="center" wrapText="1"/>
      <protection locked="0"/>
    </xf>
    <xf numFmtId="0" fontId="14" fillId="3" borderId="15" xfId="0" applyFont="1" applyFill="1" applyBorder="1" applyAlignment="1" applyProtection="1">
      <alignment horizontal="center" wrapText="1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174" fontId="12" fillId="6" borderId="5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left"/>
    </xf>
    <xf numFmtId="0" fontId="19" fillId="2" borderId="19" xfId="0" applyFont="1" applyFill="1" applyBorder="1" applyAlignment="1">
      <alignment horizontal="left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E29" sqref="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7" t="s">
        <v>0</v>
      </c>
      <c r="B15" s="337"/>
      <c r="C15" s="337"/>
      <c r="D15" s="337"/>
      <c r="E15" s="3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140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9.84</v>
      </c>
      <c r="C20" s="10"/>
      <c r="D20" s="10"/>
      <c r="E20" s="10"/>
    </row>
    <row r="21" spans="1:6" ht="16.5" customHeight="1" x14ac:dyDescent="0.3">
      <c r="A21" s="7" t="s">
        <v>10</v>
      </c>
      <c r="B21" s="13">
        <f>9.84/100</f>
        <v>9.8400000000000001E-2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11677017</v>
      </c>
      <c r="C24" s="18">
        <v>5252.27</v>
      </c>
      <c r="D24" s="19">
        <v>1</v>
      </c>
      <c r="E24" s="20">
        <v>2.84</v>
      </c>
    </row>
    <row r="25" spans="1:6" ht="16.5" customHeight="1" x14ac:dyDescent="0.3">
      <c r="A25" s="17">
        <v>2</v>
      </c>
      <c r="B25" s="18">
        <v>11648684</v>
      </c>
      <c r="C25" s="18">
        <v>5236.71</v>
      </c>
      <c r="D25" s="19">
        <v>1.01</v>
      </c>
      <c r="E25" s="19">
        <v>2.84</v>
      </c>
    </row>
    <row r="26" spans="1:6" ht="16.5" customHeight="1" x14ac:dyDescent="0.3">
      <c r="A26" s="17">
        <v>3</v>
      </c>
      <c r="B26" s="18">
        <v>11670624</v>
      </c>
      <c r="C26" s="18">
        <v>5274.82</v>
      </c>
      <c r="D26" s="19">
        <v>1.03</v>
      </c>
      <c r="E26" s="19">
        <v>2.84</v>
      </c>
    </row>
    <row r="27" spans="1:6" ht="16.5" customHeight="1" x14ac:dyDescent="0.3">
      <c r="A27" s="17">
        <v>4</v>
      </c>
      <c r="B27" s="18">
        <v>11668544</v>
      </c>
      <c r="C27" s="18">
        <v>5239.12</v>
      </c>
      <c r="D27" s="19">
        <v>1.02</v>
      </c>
      <c r="E27" s="19">
        <v>2.84</v>
      </c>
    </row>
    <row r="28" spans="1:6" ht="16.5" customHeight="1" x14ac:dyDescent="0.3">
      <c r="A28" s="17">
        <v>5</v>
      </c>
      <c r="B28" s="18">
        <v>11672924</v>
      </c>
      <c r="C28" s="18">
        <v>5328.97</v>
      </c>
      <c r="D28" s="19">
        <v>1.04</v>
      </c>
      <c r="E28" s="19">
        <v>2.84</v>
      </c>
    </row>
    <row r="29" spans="1:6" ht="16.5" customHeight="1" x14ac:dyDescent="0.3">
      <c r="A29" s="17">
        <v>6</v>
      </c>
      <c r="B29" s="21">
        <v>11660947</v>
      </c>
      <c r="C29" s="21">
        <v>5283.96</v>
      </c>
      <c r="D29" s="22">
        <v>1.02</v>
      </c>
      <c r="E29" s="22">
        <v>2.84</v>
      </c>
    </row>
    <row r="30" spans="1:6" ht="16.5" customHeight="1" x14ac:dyDescent="0.3">
      <c r="A30" s="23" t="s">
        <v>18</v>
      </c>
      <c r="B30" s="24">
        <f>AVERAGE(B24:B29)</f>
        <v>11666456.666666666</v>
      </c>
      <c r="C30" s="25">
        <f>AVERAGE(C24:C29)</f>
        <v>5269.3083333333334</v>
      </c>
      <c r="D30" s="26">
        <f>AVERAGE(D24:D29)</f>
        <v>1.0200000000000002</v>
      </c>
      <c r="E30" s="26">
        <f>AVERAGE(E24:E29)</f>
        <v>2.84</v>
      </c>
    </row>
    <row r="31" spans="1:6" ht="16.5" customHeight="1" x14ac:dyDescent="0.3">
      <c r="A31" s="27" t="s">
        <v>19</v>
      </c>
      <c r="B31" s="28">
        <f>(STDEV(B24:B29)/B30)</f>
        <v>8.7522096401295845E-4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141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141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8" t="s">
        <v>25</v>
      </c>
      <c r="C59" s="33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142</v>
      </c>
      <c r="C60" s="48"/>
      <c r="E60" s="48" t="s">
        <v>144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42" t="s">
        <v>30</v>
      </c>
      <c r="B11" s="343"/>
      <c r="C11" s="343"/>
      <c r="D11" s="343"/>
      <c r="E11" s="343"/>
      <c r="F11" s="344"/>
      <c r="G11" s="91"/>
    </row>
    <row r="12" spans="1:7" ht="16.5" customHeight="1" x14ac:dyDescent="0.3">
      <c r="A12" s="341" t="s">
        <v>31</v>
      </c>
      <c r="B12" s="341"/>
      <c r="C12" s="341"/>
      <c r="D12" s="341"/>
      <c r="E12" s="341"/>
      <c r="F12" s="341"/>
      <c r="G12" s="90"/>
    </row>
    <row r="14" spans="1:7" ht="16.5" customHeight="1" x14ac:dyDescent="0.3">
      <c r="A14" s="346" t="s">
        <v>32</v>
      </c>
      <c r="B14" s="346"/>
      <c r="C14" s="60" t="s">
        <v>5</v>
      </c>
    </row>
    <row r="15" spans="1:7" ht="16.5" customHeight="1" x14ac:dyDescent="0.3">
      <c r="A15" s="346" t="s">
        <v>33</v>
      </c>
      <c r="B15" s="346"/>
      <c r="C15" s="60" t="s">
        <v>7</v>
      </c>
    </row>
    <row r="16" spans="1:7" ht="16.5" customHeight="1" x14ac:dyDescent="0.3">
      <c r="A16" s="346" t="s">
        <v>34</v>
      </c>
      <c r="B16" s="346"/>
      <c r="C16" s="60" t="s">
        <v>9</v>
      </c>
    </row>
    <row r="17" spans="1:5" ht="16.5" customHeight="1" x14ac:dyDescent="0.3">
      <c r="A17" s="346" t="s">
        <v>35</v>
      </c>
      <c r="B17" s="346"/>
      <c r="C17" s="60" t="s">
        <v>11</v>
      </c>
    </row>
    <row r="18" spans="1:5" ht="16.5" customHeight="1" x14ac:dyDescent="0.3">
      <c r="A18" s="346" t="s">
        <v>36</v>
      </c>
      <c r="B18" s="346"/>
      <c r="C18" s="97" t="s">
        <v>12</v>
      </c>
    </row>
    <row r="19" spans="1:5" ht="16.5" customHeight="1" x14ac:dyDescent="0.3">
      <c r="A19" s="346" t="s">
        <v>37</v>
      </c>
      <c r="B19" s="34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41" t="s">
        <v>1</v>
      </c>
      <c r="B21" s="341"/>
      <c r="C21" s="59" t="s">
        <v>38</v>
      </c>
      <c r="D21" s="66"/>
    </row>
    <row r="22" spans="1:5" ht="15.75" customHeight="1" x14ac:dyDescent="0.3">
      <c r="A22" s="345"/>
      <c r="B22" s="345"/>
      <c r="C22" s="57"/>
      <c r="D22" s="345"/>
      <c r="E22" s="345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170.12</v>
      </c>
      <c r="D24" s="87">
        <f t="shared" ref="D24:D43" si="0">(C24-$C$46)/$C$46</f>
        <v>-4.5990193439668665E-3</v>
      </c>
      <c r="E24" s="53"/>
    </row>
    <row r="25" spans="1:5" ht="15.75" customHeight="1" x14ac:dyDescent="0.3">
      <c r="C25" s="95">
        <v>171.93</v>
      </c>
      <c r="D25" s="88">
        <f t="shared" si="0"/>
        <v>5.9915977203843099E-3</v>
      </c>
      <c r="E25" s="53"/>
    </row>
    <row r="26" spans="1:5" ht="15.75" customHeight="1" x14ac:dyDescent="0.3">
      <c r="C26" s="95">
        <v>172.06</v>
      </c>
      <c r="D26" s="88">
        <f t="shared" si="0"/>
        <v>6.752249774729947E-3</v>
      </c>
      <c r="E26" s="53"/>
    </row>
    <row r="27" spans="1:5" ht="15.75" customHeight="1" x14ac:dyDescent="0.3">
      <c r="C27" s="95">
        <v>170.9</v>
      </c>
      <c r="D27" s="88">
        <f t="shared" si="0"/>
        <v>-3.5107017892878119E-5</v>
      </c>
      <c r="E27" s="53"/>
    </row>
    <row r="28" spans="1:5" ht="15.75" customHeight="1" x14ac:dyDescent="0.3">
      <c r="C28" s="95">
        <v>171.29</v>
      </c>
      <c r="D28" s="88">
        <f t="shared" si="0"/>
        <v>2.2468491451440331E-3</v>
      </c>
      <c r="E28" s="53"/>
    </row>
    <row r="29" spans="1:5" ht="15.75" customHeight="1" x14ac:dyDescent="0.3">
      <c r="C29" s="95">
        <v>172.97</v>
      </c>
      <c r="D29" s="88">
        <f t="shared" si="0"/>
        <v>1.2076814155149572E-2</v>
      </c>
      <c r="E29" s="53"/>
    </row>
    <row r="30" spans="1:5" ht="15.75" customHeight="1" x14ac:dyDescent="0.3">
      <c r="C30" s="95">
        <v>168.45</v>
      </c>
      <c r="D30" s="88">
        <f t="shared" si="0"/>
        <v>-1.4370472657484331E-2</v>
      </c>
      <c r="E30" s="53"/>
    </row>
    <row r="31" spans="1:5" ht="15.75" customHeight="1" x14ac:dyDescent="0.3">
      <c r="C31" s="95">
        <v>172.84</v>
      </c>
      <c r="D31" s="88">
        <f t="shared" si="0"/>
        <v>1.1316162100803936E-2</v>
      </c>
      <c r="E31" s="53"/>
    </row>
    <row r="32" spans="1:5" ht="15.75" customHeight="1" x14ac:dyDescent="0.3">
      <c r="C32" s="95">
        <v>168.82</v>
      </c>
      <c r="D32" s="88">
        <f t="shared" si="0"/>
        <v>-1.220553988742357E-2</v>
      </c>
      <c r="E32" s="53"/>
    </row>
    <row r="33" spans="1:7" ht="15.75" customHeight="1" x14ac:dyDescent="0.3">
      <c r="C33" s="95">
        <v>168.31</v>
      </c>
      <c r="D33" s="88">
        <f t="shared" si="0"/>
        <v>-1.5189636408318044E-2</v>
      </c>
      <c r="E33" s="53"/>
    </row>
    <row r="34" spans="1:7" ht="15.75" customHeight="1" x14ac:dyDescent="0.3">
      <c r="C34" s="95">
        <v>170.26</v>
      </c>
      <c r="D34" s="88">
        <f t="shared" si="0"/>
        <v>-3.7798555931331549E-3</v>
      </c>
      <c r="E34" s="53"/>
    </row>
    <row r="35" spans="1:7" ht="15.75" customHeight="1" x14ac:dyDescent="0.3">
      <c r="C35" s="95">
        <v>168.64</v>
      </c>
      <c r="D35" s="88">
        <f t="shared" si="0"/>
        <v>-1.3258750424209913E-2</v>
      </c>
      <c r="E35" s="53"/>
    </row>
    <row r="36" spans="1:7" ht="15.75" customHeight="1" x14ac:dyDescent="0.3">
      <c r="C36" s="95">
        <v>170.16</v>
      </c>
      <c r="D36" s="88">
        <f t="shared" si="0"/>
        <v>-4.3649725580144011E-3</v>
      </c>
      <c r="E36" s="53"/>
    </row>
    <row r="37" spans="1:7" ht="15.75" customHeight="1" x14ac:dyDescent="0.3">
      <c r="C37" s="95">
        <v>171.75</v>
      </c>
      <c r="D37" s="88">
        <f t="shared" si="0"/>
        <v>4.9383871835979665E-3</v>
      </c>
      <c r="E37" s="53"/>
    </row>
    <row r="38" spans="1:7" ht="15.75" customHeight="1" x14ac:dyDescent="0.3">
      <c r="C38" s="95">
        <v>171.18</v>
      </c>
      <c r="D38" s="88">
        <f t="shared" si="0"/>
        <v>1.6032204837747117E-3</v>
      </c>
      <c r="E38" s="53"/>
    </row>
    <row r="39" spans="1:7" ht="15.75" customHeight="1" x14ac:dyDescent="0.3">
      <c r="C39" s="95">
        <v>172.57</v>
      </c>
      <c r="D39" s="88">
        <f t="shared" si="0"/>
        <v>9.7363462956244207E-3</v>
      </c>
      <c r="E39" s="53"/>
    </row>
    <row r="40" spans="1:7" ht="15.75" customHeight="1" x14ac:dyDescent="0.3">
      <c r="C40" s="95">
        <v>170.74</v>
      </c>
      <c r="D40" s="88">
        <f t="shared" si="0"/>
        <v>-9.7129416170290577E-4</v>
      </c>
      <c r="E40" s="53"/>
    </row>
    <row r="41" spans="1:7" ht="15.75" customHeight="1" x14ac:dyDescent="0.3">
      <c r="C41" s="95">
        <v>171.09</v>
      </c>
      <c r="D41" s="88">
        <f t="shared" si="0"/>
        <v>1.07661521538154E-3</v>
      </c>
      <c r="E41" s="53"/>
    </row>
    <row r="42" spans="1:7" ht="15.75" customHeight="1" x14ac:dyDescent="0.3">
      <c r="C42" s="95">
        <v>171.94</v>
      </c>
      <c r="D42" s="88">
        <f t="shared" si="0"/>
        <v>6.0501094168723844E-3</v>
      </c>
      <c r="E42" s="53"/>
    </row>
    <row r="43" spans="1:7" ht="16.5" customHeight="1" x14ac:dyDescent="0.3">
      <c r="C43" s="96">
        <v>172.1</v>
      </c>
      <c r="D43" s="89">
        <f t="shared" si="0"/>
        <v>6.9862965606824123E-3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3418.12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170.90600000000001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339">
        <f>C46</f>
        <v>170.90600000000001</v>
      </c>
      <c r="C49" s="93">
        <f>-IF(C46&lt;=80,10%,IF(C46&lt;250,7.5%,5%))</f>
        <v>-7.4999999999999997E-2</v>
      </c>
      <c r="D49" s="81">
        <f>IF(C46&lt;=80,C46*0.9,IF(C46&lt;250,C46*0.925,C46*0.95))</f>
        <v>158.08805000000001</v>
      </c>
    </row>
    <row r="50" spans="1:6" ht="17.25" customHeight="1" x14ac:dyDescent="0.3">
      <c r="B50" s="340"/>
      <c r="C50" s="94">
        <f>IF(C46&lt;=80, 10%, IF(C46&lt;250, 7.5%, 5%))</f>
        <v>7.4999999999999997E-2</v>
      </c>
      <c r="D50" s="81">
        <f>IF(C46&lt;=80, C46*1.1, IF(C46&lt;250, C46*1.075, C46*1.05))</f>
        <v>183.72395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3" zoomScale="50" zoomScaleNormal="40" zoomScalePageLayoutView="50" workbookViewId="0">
      <selection activeCell="G76" sqref="G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7" t="s">
        <v>44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45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x14ac:dyDescent="0.3">
      <c r="A15" s="98"/>
    </row>
    <row r="16" spans="1:9" ht="19.5" customHeight="1" x14ac:dyDescent="0.3">
      <c r="A16" s="381" t="s">
        <v>30</v>
      </c>
      <c r="B16" s="382"/>
      <c r="C16" s="382"/>
      <c r="D16" s="382"/>
      <c r="E16" s="382"/>
      <c r="F16" s="382"/>
      <c r="G16" s="382"/>
      <c r="H16" s="383"/>
    </row>
    <row r="17" spans="1:14" ht="20.25" customHeight="1" x14ac:dyDescent="0.25">
      <c r="A17" s="384" t="s">
        <v>46</v>
      </c>
      <c r="B17" s="384"/>
      <c r="C17" s="384"/>
      <c r="D17" s="384"/>
      <c r="E17" s="384"/>
      <c r="F17" s="384"/>
      <c r="G17" s="384"/>
      <c r="H17" s="384"/>
    </row>
    <row r="18" spans="1:14" ht="26.25" customHeight="1" x14ac:dyDescent="0.4">
      <c r="A18" s="100" t="s">
        <v>32</v>
      </c>
      <c r="B18" s="385" t="s">
        <v>5</v>
      </c>
      <c r="C18" s="385"/>
      <c r="D18" s="263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6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380" t="s">
        <v>138</v>
      </c>
      <c r="C20" s="380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380" t="s">
        <v>139</v>
      </c>
      <c r="C21" s="380"/>
      <c r="D21" s="380"/>
      <c r="E21" s="380"/>
      <c r="F21" s="380"/>
      <c r="G21" s="380"/>
      <c r="H21" s="380"/>
      <c r="I21" s="104"/>
    </row>
    <row r="22" spans="1:14" ht="26.25" customHeight="1" x14ac:dyDescent="0.4">
      <c r="A22" s="100" t="s">
        <v>36</v>
      </c>
      <c r="B22" s="105">
        <v>42594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42597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80" t="s">
        <v>137</v>
      </c>
      <c r="C26" s="380"/>
    </row>
    <row r="27" spans="1:14" ht="26.25" customHeight="1" x14ac:dyDescent="0.4">
      <c r="A27" s="109" t="s">
        <v>47</v>
      </c>
      <c r="B27" s="378" t="s">
        <v>136</v>
      </c>
      <c r="C27" s="378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48</v>
      </c>
      <c r="B29" s="111">
        <v>0</v>
      </c>
      <c r="C29" s="355" t="s">
        <v>49</v>
      </c>
      <c r="D29" s="356"/>
      <c r="E29" s="356"/>
      <c r="F29" s="356"/>
      <c r="G29" s="357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295.39999999999998</v>
      </c>
      <c r="C31" s="358" t="s">
        <v>52</v>
      </c>
      <c r="D31" s="359"/>
      <c r="E31" s="359"/>
      <c r="F31" s="359"/>
      <c r="G31" s="359"/>
      <c r="H31" s="360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413.5</v>
      </c>
      <c r="C32" s="358" t="s">
        <v>54</v>
      </c>
      <c r="D32" s="359"/>
      <c r="E32" s="359"/>
      <c r="F32" s="359"/>
      <c r="G32" s="359"/>
      <c r="H32" s="36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0.71438935912938328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361" t="s">
        <v>58</v>
      </c>
      <c r="E36" s="379"/>
      <c r="F36" s="361" t="s">
        <v>59</v>
      </c>
      <c r="G36" s="36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11643798</v>
      </c>
      <c r="E38" s="133">
        <f>IF(ISBLANK(D38),"-",$D$48/$D$45*D38)</f>
        <v>16613817.241062159</v>
      </c>
      <c r="F38" s="132">
        <v>13417748</v>
      </c>
      <c r="G38" s="134">
        <f>IF(ISBLANK(F38),"-",$D$48/$F$45*F38)</f>
        <v>16971745.743430465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11658808</v>
      </c>
      <c r="E39" s="138">
        <f>IF(ISBLANK(D39),"-",$D$48/$D$45*D39)</f>
        <v>16635234.084328277</v>
      </c>
      <c r="F39" s="137">
        <v>13409003</v>
      </c>
      <c r="G39" s="139">
        <f>IF(ISBLANK(F39),"-",$D$48/$F$45*F39)</f>
        <v>16960684.429972626</v>
      </c>
      <c r="I39" s="363">
        <f>ABS((F43/D43*D42)-F42)/D42</f>
        <v>2.3823597528924361E-2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11648990</v>
      </c>
      <c r="E40" s="138">
        <f>IF(ISBLANK(D40),"-",$D$48/$D$45*D40)</f>
        <v>16621225.38564828</v>
      </c>
      <c r="F40" s="137">
        <v>13433027</v>
      </c>
      <c r="G40" s="139">
        <f>IF(ISBLANK(F40),"-",$D$48/$F$45*F40)</f>
        <v>16991071.73637756</v>
      </c>
      <c r="I40" s="363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11650532</v>
      </c>
      <c r="E42" s="148">
        <f>AVERAGE(E38:E41)</f>
        <v>16623425.570346238</v>
      </c>
      <c r="F42" s="147">
        <f>AVERAGE(F38:F41)</f>
        <v>13419926</v>
      </c>
      <c r="G42" s="149">
        <f>AVERAGE(G38:G41)</f>
        <v>16974500.63659355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9.84</v>
      </c>
      <c r="E43" s="140"/>
      <c r="F43" s="152">
        <v>11.1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7.0295912938331311</v>
      </c>
      <c r="E44" s="155"/>
      <c r="F44" s="154">
        <f>F43*$B$34</f>
        <v>7.9297218863361545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7.0085025199516311</v>
      </c>
      <c r="E45" s="158"/>
      <c r="F45" s="157">
        <f>F44*$B$30/100</f>
        <v>7.9059327206771464</v>
      </c>
      <c r="H45" s="150"/>
    </row>
    <row r="46" spans="1:14" ht="19.5" customHeight="1" x14ac:dyDescent="0.3">
      <c r="A46" s="349" t="s">
        <v>77</v>
      </c>
      <c r="B46" s="350"/>
      <c r="C46" s="153" t="s">
        <v>78</v>
      </c>
      <c r="D46" s="159">
        <f>D45/$B$45</f>
        <v>7.0085025199516315E-2</v>
      </c>
      <c r="E46" s="160"/>
      <c r="F46" s="161">
        <f>F45/$B$45</f>
        <v>7.905932720677146E-2</v>
      </c>
      <c r="H46" s="150"/>
    </row>
    <row r="47" spans="1:14" ht="27" customHeight="1" x14ac:dyDescent="0.4">
      <c r="A47" s="351"/>
      <c r="B47" s="352"/>
      <c r="C47" s="162" t="s">
        <v>79</v>
      </c>
      <c r="D47" s="163">
        <v>0.1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13.997968855788761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16798963.103469893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1.1468591411893905E-2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uncoated tablet contains:Sumatriptan Succinate Ph.Eur.  equivalent to Sumatriptan 50mg</v>
      </c>
    </row>
    <row r="56" spans="1:12" ht="26.25" customHeight="1" x14ac:dyDescent="0.4">
      <c r="A56" s="177" t="s">
        <v>86</v>
      </c>
      <c r="B56" s="178">
        <v>50</v>
      </c>
      <c r="C56" s="99" t="str">
        <f>B20</f>
        <v xml:space="preserve">Sumatriptan </v>
      </c>
      <c r="H56" s="179"/>
    </row>
    <row r="57" spans="1:12" ht="18.75" x14ac:dyDescent="0.3">
      <c r="A57" s="176" t="s">
        <v>87</v>
      </c>
      <c r="B57" s="264">
        <f>Uniformity!C46</f>
        <v>170.90600000000001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50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10</v>
      </c>
      <c r="C60" s="366" t="s">
        <v>93</v>
      </c>
      <c r="D60" s="369">
        <v>174.51</v>
      </c>
      <c r="E60" s="182">
        <v>1</v>
      </c>
      <c r="F60" s="183">
        <v>16204611</v>
      </c>
      <c r="G60" s="265">
        <f>IF(ISBLANK(F60),"-",(F60/$D$50*$D$47*$B$68)*($B$57/$D$60))</f>
        <v>47.234914045023615</v>
      </c>
      <c r="H60" s="184">
        <f t="shared" ref="H60:H71" si="0">IF(ISBLANK(F60),"-",G60/$B$56)</f>
        <v>0.94469828090047225</v>
      </c>
      <c r="L60" s="112"/>
    </row>
    <row r="61" spans="1:12" s="14" customFormat="1" ht="26.25" customHeight="1" x14ac:dyDescent="0.4">
      <c r="A61" s="124" t="s">
        <v>94</v>
      </c>
      <c r="B61" s="125">
        <v>100</v>
      </c>
      <c r="C61" s="367"/>
      <c r="D61" s="370"/>
      <c r="E61" s="185">
        <v>2</v>
      </c>
      <c r="F61" s="137">
        <v>16096478</v>
      </c>
      <c r="G61" s="266">
        <f>IF(ISBLANK(F61),"-",(F61/$D$50*$D$47*$B$68)*($B$57/$D$60))</f>
        <v>46.919716539793122</v>
      </c>
      <c r="H61" s="186">
        <f t="shared" si="0"/>
        <v>0.93839433079586243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367"/>
      <c r="D62" s="370"/>
      <c r="E62" s="185">
        <v>3</v>
      </c>
      <c r="F62" s="187">
        <v>16194984</v>
      </c>
      <c r="G62" s="266">
        <f>IF(ISBLANK(F62),"-",(F62/$D$50*$D$47*$B$68)*($B$57/$D$60))</f>
        <v>47.20685224721116</v>
      </c>
      <c r="H62" s="186">
        <f t="shared" si="0"/>
        <v>0.94413704494422324</v>
      </c>
      <c r="L62" s="112"/>
    </row>
    <row r="63" spans="1:12" ht="27" customHeight="1" x14ac:dyDescent="0.4">
      <c r="A63" s="124" t="s">
        <v>96</v>
      </c>
      <c r="B63" s="125">
        <v>1</v>
      </c>
      <c r="C63" s="377"/>
      <c r="D63" s="371"/>
      <c r="E63" s="188">
        <v>4</v>
      </c>
      <c r="F63" s="189"/>
      <c r="G63" s="266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366" t="s">
        <v>98</v>
      </c>
      <c r="D64" s="369">
        <v>166.32</v>
      </c>
      <c r="E64" s="182">
        <v>1</v>
      </c>
      <c r="F64" s="183">
        <v>15346777</v>
      </c>
      <c r="G64" s="267">
        <f>IF(ISBLANK(F64),"-",(F64/$D$50*$D$47*$B$68)*($B$57/$D$64))</f>
        <v>46.937239506848712</v>
      </c>
      <c r="H64" s="190">
        <f t="shared" si="0"/>
        <v>0.93874479013697421</v>
      </c>
    </row>
    <row r="65" spans="1:8" ht="26.25" customHeight="1" x14ac:dyDescent="0.4">
      <c r="A65" s="124" t="s">
        <v>99</v>
      </c>
      <c r="B65" s="125">
        <v>1</v>
      </c>
      <c r="C65" s="367"/>
      <c r="D65" s="370"/>
      <c r="E65" s="185">
        <v>2</v>
      </c>
      <c r="F65" s="137">
        <v>15245911</v>
      </c>
      <c r="G65" s="268">
        <f>IF(ISBLANK(F65),"-",(F65/$D$50*$D$47*$B$68)*($B$57/$D$64))</f>
        <v>46.628746616120075</v>
      </c>
      <c r="H65" s="191">
        <f t="shared" si="0"/>
        <v>0.93257493232240152</v>
      </c>
    </row>
    <row r="66" spans="1:8" ht="26.25" customHeight="1" x14ac:dyDescent="0.4">
      <c r="A66" s="124" t="s">
        <v>100</v>
      </c>
      <c r="B66" s="125">
        <v>1</v>
      </c>
      <c r="C66" s="367"/>
      <c r="D66" s="370"/>
      <c r="E66" s="185">
        <v>3</v>
      </c>
      <c r="F66" s="137">
        <v>15238350</v>
      </c>
      <c r="G66" s="268">
        <f>IF(ISBLANK(F66),"-",(F66/$D$50*$D$47*$B$68)*($B$57/$D$64))</f>
        <v>46.605621730164458</v>
      </c>
      <c r="H66" s="191">
        <f t="shared" si="0"/>
        <v>0.93211243460328919</v>
      </c>
    </row>
    <row r="67" spans="1:8" ht="27" customHeight="1" x14ac:dyDescent="0.4">
      <c r="A67" s="124" t="s">
        <v>101</v>
      </c>
      <c r="B67" s="125">
        <v>1</v>
      </c>
      <c r="C67" s="377"/>
      <c r="D67" s="371"/>
      <c r="E67" s="188">
        <v>4</v>
      </c>
      <c r="F67" s="189"/>
      <c r="G67" s="269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500</v>
      </c>
      <c r="C68" s="366" t="s">
        <v>103</v>
      </c>
      <c r="D68" s="369">
        <v>170.97</v>
      </c>
      <c r="E68" s="182">
        <v>1</v>
      </c>
      <c r="F68" s="183">
        <v>15891844</v>
      </c>
      <c r="G68" s="267">
        <f>IF(ISBLANK(F68),"-",(F68/$D$50*$D$47*$B$68)*($B$57/$D$68))</f>
        <v>47.282368065927308</v>
      </c>
      <c r="H68" s="186">
        <f t="shared" si="0"/>
        <v>0.94564736131854621</v>
      </c>
    </row>
    <row r="69" spans="1:8" ht="27" customHeight="1" x14ac:dyDescent="0.4">
      <c r="A69" s="172" t="s">
        <v>104</v>
      </c>
      <c r="B69" s="194">
        <f>(D47*B68)/B56*B57</f>
        <v>170.90600000000001</v>
      </c>
      <c r="C69" s="367"/>
      <c r="D69" s="370"/>
      <c r="E69" s="185">
        <v>2</v>
      </c>
      <c r="F69" s="137">
        <v>15876119</v>
      </c>
      <c r="G69" s="268">
        <f>IF(ISBLANK(F69),"-",(F69/$D$50*$D$47*$B$68)*($B$57/$D$68))</f>
        <v>47.235582102143837</v>
      </c>
      <c r="H69" s="186">
        <f t="shared" si="0"/>
        <v>0.94471164204287672</v>
      </c>
    </row>
    <row r="70" spans="1:8" ht="26.25" customHeight="1" x14ac:dyDescent="0.4">
      <c r="A70" s="372" t="s">
        <v>77</v>
      </c>
      <c r="B70" s="373"/>
      <c r="C70" s="367"/>
      <c r="D70" s="370"/>
      <c r="E70" s="185">
        <v>3</v>
      </c>
      <c r="F70" s="137">
        <v>15783945</v>
      </c>
      <c r="G70" s="268">
        <f>IF(ISBLANK(F70),"-",(F70/$D$50*$D$47*$B$68)*($B$57/$D$68))</f>
        <v>46.961340485242182</v>
      </c>
      <c r="H70" s="186">
        <f t="shared" si="0"/>
        <v>0.93922680970484362</v>
      </c>
    </row>
    <row r="71" spans="1:8" ht="27" customHeight="1" x14ac:dyDescent="0.4">
      <c r="A71" s="374"/>
      <c r="B71" s="375"/>
      <c r="C71" s="368"/>
      <c r="D71" s="371"/>
      <c r="E71" s="188">
        <v>4</v>
      </c>
      <c r="F71" s="189"/>
      <c r="G71" s="269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4">
        <f>AVERAGE(G60:G71)</f>
        <v>47.001375704274942</v>
      </c>
      <c r="H72" s="199">
        <f>AVERAGE(H60:H71)</f>
        <v>0.94002751408549878</v>
      </c>
    </row>
    <row r="73" spans="1:8" ht="26.25" customHeight="1" x14ac:dyDescent="0.4">
      <c r="C73" s="196"/>
      <c r="D73" s="196"/>
      <c r="E73" s="196"/>
      <c r="F73" s="200" t="s">
        <v>83</v>
      </c>
      <c r="G73" s="270">
        <f>STDEV(G60:G71)/G72</f>
        <v>5.5196095081093497E-3</v>
      </c>
      <c r="H73" s="270">
        <f>STDEV(H60:H71)/H72</f>
        <v>5.5196095081093488E-3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353" t="str">
        <f>B20</f>
        <v xml:space="preserve">Sumatriptan </v>
      </c>
      <c r="D76" s="353"/>
      <c r="E76" s="205" t="s">
        <v>107</v>
      </c>
      <c r="F76" s="205"/>
      <c r="G76" s="206">
        <f>H72</f>
        <v>0.94002751408549878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76" t="str">
        <f>B26</f>
        <v>Sumatriptan succinate</v>
      </c>
      <c r="C79" s="376"/>
    </row>
    <row r="80" spans="1:8" ht="26.25" customHeight="1" x14ac:dyDescent="0.4">
      <c r="A80" s="109" t="s">
        <v>47</v>
      </c>
      <c r="B80" s="376" t="str">
        <f>B27</f>
        <v>S39-1</v>
      </c>
      <c r="C80" s="376"/>
    </row>
    <row r="81" spans="1:12" ht="27" customHeight="1" x14ac:dyDescent="0.4">
      <c r="A81" s="109" t="s">
        <v>6</v>
      </c>
      <c r="B81" s="208">
        <f>B28</f>
        <v>99.7</v>
      </c>
    </row>
    <row r="82" spans="1:12" s="14" customFormat="1" ht="27" customHeight="1" x14ac:dyDescent="0.4">
      <c r="A82" s="109" t="s">
        <v>48</v>
      </c>
      <c r="B82" s="111">
        <v>0</v>
      </c>
      <c r="C82" s="355" t="s">
        <v>49</v>
      </c>
      <c r="D82" s="356"/>
      <c r="E82" s="356"/>
      <c r="F82" s="356"/>
      <c r="G82" s="357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295.39999999999998</v>
      </c>
      <c r="C84" s="358" t="s">
        <v>110</v>
      </c>
      <c r="D84" s="359"/>
      <c r="E84" s="359"/>
      <c r="F84" s="359"/>
      <c r="G84" s="359"/>
      <c r="H84" s="360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413.5</v>
      </c>
      <c r="C85" s="358" t="s">
        <v>111</v>
      </c>
      <c r="D85" s="359"/>
      <c r="E85" s="359"/>
      <c r="F85" s="359"/>
      <c r="G85" s="359"/>
      <c r="H85" s="36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0.71438935912938328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9" t="s">
        <v>58</v>
      </c>
      <c r="E89" s="210"/>
      <c r="F89" s="361" t="s">
        <v>59</v>
      </c>
      <c r="G89" s="362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10</v>
      </c>
      <c r="C91" s="213">
        <v>1</v>
      </c>
      <c r="D91" s="390">
        <v>0.27</v>
      </c>
      <c r="E91" s="133">
        <f>IF(ISBLANK(D91),"-",$D$101/$D$98*D91)</f>
        <v>0.47177718827816645</v>
      </c>
      <c r="F91" s="390">
        <v>0.30499999999999999</v>
      </c>
      <c r="G91" s="134">
        <f>IF(ISBLANK(F91),"-",$D$101/$F$98*F91)</f>
        <v>0.48472190330563042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391">
        <v>0.27400000000000002</v>
      </c>
      <c r="E92" s="138">
        <f>IF(ISBLANK(D92),"-",$D$101/$D$98*D92)</f>
        <v>0.47876647995636151</v>
      </c>
      <c r="F92" s="391">
        <v>0.31</v>
      </c>
      <c r="G92" s="139">
        <f>IF(ISBLANK(F92),"-",$D$101/$F$98*F92)</f>
        <v>0.4926681640155588</v>
      </c>
      <c r="I92" s="363">
        <f>ABS((F96/D96*D95)-F95)/D95</f>
        <v>2.5079758950726738E-2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391">
        <v>0.27500000000000002</v>
      </c>
      <c r="E93" s="138">
        <f>IF(ISBLANK(D93),"-",$D$101/$D$98*D93)</f>
        <v>0.48051380287591028</v>
      </c>
      <c r="F93" s="391">
        <v>0.30599999999999999</v>
      </c>
      <c r="G93" s="139">
        <f>IF(ISBLANK(F93),"-",$D$101/$F$98*F93)</f>
        <v>0.48631115544761611</v>
      </c>
      <c r="I93" s="363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392">
        <f>AVERAGE(D91:D94)</f>
        <v>0.27300000000000002</v>
      </c>
      <c r="E95" s="148">
        <f>AVERAGE(E91:E94)</f>
        <v>0.47701915703681275</v>
      </c>
      <c r="F95" s="393">
        <f>AVERAGE(F91:F94)</f>
        <v>0.307</v>
      </c>
      <c r="G95" s="217">
        <f>AVERAGE(G91:G94)</f>
        <v>0.48790040758960179</v>
      </c>
    </row>
    <row r="96" spans="1:12" ht="26.25" customHeight="1" x14ac:dyDescent="0.4">
      <c r="A96" s="124" t="s">
        <v>71</v>
      </c>
      <c r="B96" s="110">
        <v>1</v>
      </c>
      <c r="C96" s="218" t="s">
        <v>112</v>
      </c>
      <c r="D96" s="219">
        <v>11.16</v>
      </c>
      <c r="E96" s="140"/>
      <c r="F96" s="152">
        <v>12.27</v>
      </c>
    </row>
    <row r="97" spans="1:10" ht="26.25" customHeight="1" x14ac:dyDescent="0.4">
      <c r="A97" s="124" t="s">
        <v>73</v>
      </c>
      <c r="B97" s="110">
        <v>1</v>
      </c>
      <c r="C97" s="220" t="s">
        <v>113</v>
      </c>
      <c r="D97" s="221">
        <f>D96*$B$87</f>
        <v>7.9725852478839174</v>
      </c>
      <c r="E97" s="155"/>
      <c r="F97" s="154">
        <f>F96*$B$87</f>
        <v>8.7655574365175326</v>
      </c>
    </row>
    <row r="98" spans="1:10" ht="19.5" customHeight="1" x14ac:dyDescent="0.3">
      <c r="A98" s="124" t="s">
        <v>75</v>
      </c>
      <c r="B98" s="222">
        <f>(B97/B96)*(B95/B94)*(B93/B92)*(B91/B90)*B89</f>
        <v>500</v>
      </c>
      <c r="C98" s="220" t="s">
        <v>114</v>
      </c>
      <c r="D98" s="223">
        <f>D97*$B$83/100</f>
        <v>7.9486674921402667</v>
      </c>
      <c r="E98" s="158"/>
      <c r="F98" s="157">
        <f>F97*$B$83/100</f>
        <v>8.7392607642079803</v>
      </c>
    </row>
    <row r="99" spans="1:10" ht="19.5" customHeight="1" x14ac:dyDescent="0.3">
      <c r="A99" s="349" t="s">
        <v>77</v>
      </c>
      <c r="B99" s="364"/>
      <c r="C99" s="220" t="s">
        <v>115</v>
      </c>
      <c r="D99" s="224">
        <f>D98/$B$98</f>
        <v>1.5897334984280535E-2</v>
      </c>
      <c r="E99" s="158"/>
      <c r="F99" s="161">
        <f>F98/$B$98</f>
        <v>1.7478521528415961E-2</v>
      </c>
      <c r="G99" s="225"/>
      <c r="H99" s="150"/>
    </row>
    <row r="100" spans="1:10" ht="19.5" customHeight="1" x14ac:dyDescent="0.3">
      <c r="A100" s="351"/>
      <c r="B100" s="365"/>
      <c r="C100" s="220" t="s">
        <v>79</v>
      </c>
      <c r="D100" s="226">
        <f>$B$56/$B$116</f>
        <v>2.7777777777777776E-2</v>
      </c>
      <c r="F100" s="166"/>
      <c r="G100" s="227"/>
      <c r="H100" s="150"/>
    </row>
    <row r="101" spans="1:10" ht="18.75" x14ac:dyDescent="0.3">
      <c r="C101" s="220" t="s">
        <v>80</v>
      </c>
      <c r="D101" s="221">
        <f>D100*$B$98</f>
        <v>13.888888888888888</v>
      </c>
      <c r="F101" s="166"/>
      <c r="G101" s="225"/>
      <c r="H101" s="150"/>
    </row>
    <row r="102" spans="1:10" ht="19.5" customHeight="1" x14ac:dyDescent="0.3">
      <c r="C102" s="228" t="s">
        <v>81</v>
      </c>
      <c r="D102" s="229">
        <f>D101/B34</f>
        <v>19.441623410817723</v>
      </c>
      <c r="F102" s="170"/>
      <c r="G102" s="225"/>
      <c r="H102" s="150"/>
      <c r="J102" s="230"/>
    </row>
    <row r="103" spans="1:10" ht="18.75" x14ac:dyDescent="0.3">
      <c r="C103" s="231" t="s">
        <v>116</v>
      </c>
      <c r="D103" s="232">
        <f>AVERAGE(E91:E94,G91:G94)</f>
        <v>0.4824597823132073</v>
      </c>
      <c r="F103" s="170"/>
      <c r="G103" s="233"/>
      <c r="H103" s="150"/>
      <c r="J103" s="234"/>
    </row>
    <row r="104" spans="1:10" ht="18.75" x14ac:dyDescent="0.3">
      <c r="C104" s="200" t="s">
        <v>83</v>
      </c>
      <c r="D104" s="235">
        <f>STDEV(E91:E94,G91:G94)/D103</f>
        <v>1.4822611593679169E-2</v>
      </c>
      <c r="F104" s="170"/>
      <c r="G104" s="225"/>
      <c r="H104" s="150"/>
      <c r="J104" s="234"/>
    </row>
    <row r="105" spans="1:10" ht="19.5" customHeight="1" x14ac:dyDescent="0.3">
      <c r="C105" s="202" t="s">
        <v>20</v>
      </c>
      <c r="D105" s="236">
        <f>COUNT(E91:E94,G91:G94)</f>
        <v>6</v>
      </c>
      <c r="F105" s="170"/>
      <c r="G105" s="225"/>
      <c r="H105" s="150"/>
      <c r="J105" s="234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7" t="s">
        <v>118</v>
      </c>
      <c r="D107" s="238" t="s">
        <v>62</v>
      </c>
      <c r="E107" s="239" t="s">
        <v>119</v>
      </c>
      <c r="F107" s="240" t="s">
        <v>120</v>
      </c>
    </row>
    <row r="108" spans="1:10" ht="26.25" customHeight="1" x14ac:dyDescent="0.4">
      <c r="A108" s="124" t="s">
        <v>121</v>
      </c>
      <c r="B108" s="125">
        <v>10</v>
      </c>
      <c r="C108" s="241">
        <v>1</v>
      </c>
      <c r="D108" s="388">
        <v>0.45200000000000001</v>
      </c>
      <c r="E108" s="271">
        <f t="shared" ref="E108:E113" si="1">IF(ISBLANK(D108),"-",D108/$D$103*$D$100*$B$116)</f>
        <v>46.843282753314227</v>
      </c>
      <c r="F108" s="242">
        <f t="shared" ref="F108:F113" si="2">IF(ISBLANK(D108), "-", E108/$B$56)</f>
        <v>0.9368656550662845</v>
      </c>
    </row>
    <row r="109" spans="1:10" ht="26.25" customHeight="1" x14ac:dyDescent="0.4">
      <c r="A109" s="124" t="s">
        <v>94</v>
      </c>
      <c r="B109" s="125">
        <v>20</v>
      </c>
      <c r="C109" s="241">
        <v>2</v>
      </c>
      <c r="D109" s="388">
        <v>0.44900000000000001</v>
      </c>
      <c r="E109" s="272">
        <f t="shared" si="1"/>
        <v>46.5323760093763</v>
      </c>
      <c r="F109" s="243">
        <f t="shared" si="2"/>
        <v>0.93064752018752595</v>
      </c>
    </row>
    <row r="110" spans="1:10" ht="26.25" customHeight="1" x14ac:dyDescent="0.4">
      <c r="A110" s="124" t="s">
        <v>95</v>
      </c>
      <c r="B110" s="125">
        <v>1</v>
      </c>
      <c r="C110" s="241">
        <v>3</v>
      </c>
      <c r="D110" s="388">
        <v>0.45600000000000002</v>
      </c>
      <c r="E110" s="272">
        <f t="shared" si="1"/>
        <v>47.257825078564792</v>
      </c>
      <c r="F110" s="243">
        <f t="shared" si="2"/>
        <v>0.94515650157129583</v>
      </c>
    </row>
    <row r="111" spans="1:10" ht="26.25" customHeight="1" x14ac:dyDescent="0.4">
      <c r="A111" s="124" t="s">
        <v>96</v>
      </c>
      <c r="B111" s="125">
        <v>1</v>
      </c>
      <c r="C111" s="241">
        <v>4</v>
      </c>
      <c r="D111" s="388">
        <v>0.45100000000000001</v>
      </c>
      <c r="E111" s="272">
        <f t="shared" si="1"/>
        <v>46.739647172001582</v>
      </c>
      <c r="F111" s="243">
        <f t="shared" si="2"/>
        <v>0.93479294344003161</v>
      </c>
    </row>
    <row r="112" spans="1:10" ht="26.25" customHeight="1" x14ac:dyDescent="0.4">
      <c r="A112" s="124" t="s">
        <v>97</v>
      </c>
      <c r="B112" s="125">
        <v>1</v>
      </c>
      <c r="C112" s="241">
        <v>5</v>
      </c>
      <c r="D112" s="388">
        <v>0.45200000000000001</v>
      </c>
      <c r="E112" s="272">
        <f t="shared" si="1"/>
        <v>46.843282753314227</v>
      </c>
      <c r="F112" s="243">
        <f t="shared" si="2"/>
        <v>0.9368656550662845</v>
      </c>
    </row>
    <row r="113" spans="1:10" ht="26.25" customHeight="1" x14ac:dyDescent="0.4">
      <c r="A113" s="124" t="s">
        <v>99</v>
      </c>
      <c r="B113" s="125">
        <v>1</v>
      </c>
      <c r="C113" s="244">
        <v>6</v>
      </c>
      <c r="D113" s="389">
        <v>0.45700000000000002</v>
      </c>
      <c r="E113" s="273">
        <f t="shared" si="1"/>
        <v>47.361460659877437</v>
      </c>
      <c r="F113" s="245">
        <f t="shared" si="2"/>
        <v>0.94722921319754871</v>
      </c>
    </row>
    <row r="114" spans="1:10" ht="26.25" customHeight="1" x14ac:dyDescent="0.4">
      <c r="A114" s="124" t="s">
        <v>100</v>
      </c>
      <c r="B114" s="125">
        <v>1</v>
      </c>
      <c r="C114" s="241"/>
      <c r="D114" s="197"/>
      <c r="E114" s="98"/>
      <c r="F114" s="246"/>
    </row>
    <row r="115" spans="1:10" ht="26.25" customHeight="1" x14ac:dyDescent="0.4">
      <c r="A115" s="124" t="s">
        <v>101</v>
      </c>
      <c r="B115" s="125">
        <v>1</v>
      </c>
      <c r="C115" s="241"/>
      <c r="D115" s="247" t="s">
        <v>70</v>
      </c>
      <c r="E115" s="275">
        <f>AVERAGE(E108:E113)</f>
        <v>46.929645737741424</v>
      </c>
      <c r="F115" s="248">
        <f>AVERAGE(F108:F113)</f>
        <v>0.93859291475482853</v>
      </c>
    </row>
    <row r="116" spans="1:10" ht="27" customHeight="1" x14ac:dyDescent="0.4">
      <c r="A116" s="124" t="s">
        <v>102</v>
      </c>
      <c r="B116" s="156">
        <f>(B115/B114)*(B113/B112)*(B111/B110)*(B109/B108)*B107</f>
        <v>1800</v>
      </c>
      <c r="C116" s="249"/>
      <c r="D116" s="216" t="s">
        <v>83</v>
      </c>
      <c r="E116" s="250">
        <f>STDEV(E108:E113)/E115</f>
        <v>6.7585595472288698E-3</v>
      </c>
      <c r="F116" s="250">
        <f>STDEV(F108:F113)/F115</f>
        <v>6.7585595472288802E-3</v>
      </c>
      <c r="I116" s="98"/>
    </row>
    <row r="117" spans="1:10" ht="27" customHeight="1" x14ac:dyDescent="0.4">
      <c r="A117" s="349" t="s">
        <v>77</v>
      </c>
      <c r="B117" s="350"/>
      <c r="C117" s="251"/>
      <c r="D117" s="252" t="s">
        <v>20</v>
      </c>
      <c r="E117" s="253">
        <f>COUNT(E108:E113)</f>
        <v>6</v>
      </c>
      <c r="F117" s="253">
        <f>COUNT(F108:F113)</f>
        <v>6</v>
      </c>
      <c r="I117" s="98"/>
      <c r="J117" s="234"/>
    </row>
    <row r="118" spans="1:10" ht="19.5" customHeight="1" x14ac:dyDescent="0.3">
      <c r="A118" s="351"/>
      <c r="B118" s="35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2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353" t="str">
        <f>B20</f>
        <v xml:space="preserve">Sumatriptan </v>
      </c>
      <c r="D120" s="353"/>
      <c r="E120" s="205" t="s">
        <v>123</v>
      </c>
      <c r="F120" s="205"/>
      <c r="G120" s="206">
        <f>F115</f>
        <v>0.93859291475482853</v>
      </c>
      <c r="H120" s="98"/>
      <c r="I120" s="98"/>
    </row>
    <row r="121" spans="1:10" ht="19.5" customHeight="1" x14ac:dyDescent="0.3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354" t="s">
        <v>25</v>
      </c>
      <c r="C122" s="354"/>
      <c r="E122" s="211" t="s">
        <v>26</v>
      </c>
      <c r="F122" s="256"/>
      <c r="G122" s="354" t="s">
        <v>27</v>
      </c>
      <c r="H122" s="354"/>
    </row>
    <row r="123" spans="1:10" ht="69.95" customHeight="1" x14ac:dyDescent="0.3">
      <c r="A123" s="257" t="s">
        <v>28</v>
      </c>
      <c r="B123" s="258"/>
      <c r="C123" s="258"/>
      <c r="E123" s="258"/>
      <c r="F123" s="98"/>
      <c r="G123" s="259"/>
      <c r="H123" s="259"/>
    </row>
    <row r="124" spans="1:10" ht="69.95" customHeight="1" x14ac:dyDescent="0.3">
      <c r="A124" s="257" t="s">
        <v>29</v>
      </c>
      <c r="B124" s="260"/>
      <c r="C124" s="260"/>
      <c r="E124" s="260"/>
      <c r="F124" s="98"/>
      <c r="G124" s="261"/>
      <c r="H124" s="261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0" zoomScale="60" zoomScaleNormal="70" workbookViewId="0">
      <selection activeCell="C30" sqref="C30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347" t="s">
        <v>44</v>
      </c>
      <c r="B1" s="347"/>
      <c r="C1" s="347"/>
      <c r="D1" s="347"/>
      <c r="E1" s="347"/>
      <c r="F1" s="347"/>
      <c r="G1" s="347"/>
    </row>
    <row r="2" spans="1:7" ht="14.25" customHeight="1" x14ac:dyDescent="0.2">
      <c r="A2" s="347"/>
      <c r="B2" s="347"/>
      <c r="C2" s="347"/>
      <c r="D2" s="347"/>
      <c r="E2" s="347"/>
      <c r="F2" s="347"/>
      <c r="G2" s="347"/>
    </row>
    <row r="3" spans="1:7" ht="14.25" customHeight="1" x14ac:dyDescent="0.2">
      <c r="A3" s="347"/>
      <c r="B3" s="347"/>
      <c r="C3" s="347"/>
      <c r="D3" s="347"/>
      <c r="E3" s="347"/>
      <c r="F3" s="347"/>
      <c r="G3" s="347"/>
    </row>
    <row r="4" spans="1:7" ht="14.25" customHeight="1" x14ac:dyDescent="0.2">
      <c r="A4" s="347"/>
      <c r="B4" s="347"/>
      <c r="C4" s="347"/>
      <c r="D4" s="347"/>
      <c r="E4" s="347"/>
      <c r="F4" s="347"/>
      <c r="G4" s="347"/>
    </row>
    <row r="5" spans="1:7" ht="14.25" customHeight="1" x14ac:dyDescent="0.2">
      <c r="A5" s="347"/>
      <c r="B5" s="347"/>
      <c r="C5" s="347"/>
      <c r="D5" s="347"/>
      <c r="E5" s="347"/>
      <c r="F5" s="347"/>
      <c r="G5" s="347"/>
    </row>
    <row r="6" spans="1:7" ht="14.25" customHeight="1" x14ac:dyDescent="0.2">
      <c r="A6" s="347"/>
      <c r="B6" s="347"/>
      <c r="C6" s="347"/>
      <c r="D6" s="347"/>
      <c r="E6" s="347"/>
      <c r="F6" s="347"/>
      <c r="G6" s="347"/>
    </row>
    <row r="7" spans="1:7" ht="14.25" customHeight="1" x14ac:dyDescent="0.2">
      <c r="A7" s="347"/>
      <c r="B7" s="347"/>
      <c r="C7" s="347"/>
      <c r="D7" s="347"/>
      <c r="E7" s="347"/>
      <c r="F7" s="347"/>
      <c r="G7" s="347"/>
    </row>
    <row r="8" spans="1:7" ht="14.25" customHeight="1" x14ac:dyDescent="0.2">
      <c r="A8" s="348" t="s">
        <v>45</v>
      </c>
      <c r="B8" s="348"/>
      <c r="C8" s="348"/>
      <c r="D8" s="348"/>
      <c r="E8" s="348"/>
      <c r="F8" s="348"/>
      <c r="G8" s="348"/>
    </row>
    <row r="9" spans="1:7" ht="14.25" customHeight="1" x14ac:dyDescent="0.2">
      <c r="A9" s="348"/>
      <c r="B9" s="348"/>
      <c r="C9" s="348"/>
      <c r="D9" s="348"/>
      <c r="E9" s="348"/>
      <c r="F9" s="348"/>
      <c r="G9" s="348"/>
    </row>
    <row r="10" spans="1:7" ht="14.25" customHeight="1" x14ac:dyDescent="0.2">
      <c r="A10" s="348"/>
      <c r="B10" s="348"/>
      <c r="C10" s="348"/>
      <c r="D10" s="348"/>
      <c r="E10" s="348"/>
      <c r="F10" s="348"/>
      <c r="G10" s="348"/>
    </row>
    <row r="11" spans="1:7" ht="14.25" customHeight="1" x14ac:dyDescent="0.2">
      <c r="A11" s="348"/>
      <c r="B11" s="348"/>
      <c r="C11" s="348"/>
      <c r="D11" s="348"/>
      <c r="E11" s="348"/>
      <c r="F11" s="348"/>
      <c r="G11" s="348"/>
    </row>
    <row r="12" spans="1:7" ht="14.25" customHeight="1" x14ac:dyDescent="0.2">
      <c r="A12" s="348"/>
      <c r="B12" s="348"/>
      <c r="C12" s="348"/>
      <c r="D12" s="348"/>
      <c r="E12" s="348"/>
      <c r="F12" s="348"/>
      <c r="G12" s="348"/>
    </row>
    <row r="13" spans="1:7" ht="14.25" customHeight="1" x14ac:dyDescent="0.2">
      <c r="A13" s="348"/>
      <c r="B13" s="348"/>
      <c r="C13" s="348"/>
      <c r="D13" s="348"/>
      <c r="E13" s="348"/>
      <c r="F13" s="348"/>
      <c r="G13" s="348"/>
    </row>
    <row r="14" spans="1:7" ht="14.25" customHeight="1" x14ac:dyDescent="0.2">
      <c r="A14" s="348"/>
      <c r="B14" s="348"/>
      <c r="C14" s="348"/>
      <c r="D14" s="348"/>
      <c r="E14" s="348"/>
      <c r="F14" s="348"/>
      <c r="G14" s="348"/>
    </row>
    <row r="15" spans="1:7" ht="19.5" customHeight="1" x14ac:dyDescent="0.3">
      <c r="A15" s="277"/>
      <c r="B15" s="277"/>
      <c r="C15" s="277"/>
      <c r="D15" s="277"/>
      <c r="E15" s="277"/>
      <c r="F15" s="277"/>
      <c r="G15" s="277"/>
    </row>
    <row r="16" spans="1:7" ht="19.5" customHeight="1" x14ac:dyDescent="0.3">
      <c r="A16" s="381" t="s">
        <v>30</v>
      </c>
      <c r="B16" s="382"/>
      <c r="C16" s="382"/>
      <c r="D16" s="382"/>
      <c r="E16" s="382"/>
      <c r="F16" s="382"/>
      <c r="G16" s="382"/>
    </row>
    <row r="17" spans="1:7" ht="18.75" customHeight="1" x14ac:dyDescent="0.3">
      <c r="A17" s="278" t="s">
        <v>46</v>
      </c>
      <c r="B17" s="278"/>
      <c r="C17" s="277"/>
      <c r="D17" s="277"/>
      <c r="E17" s="277"/>
      <c r="F17" s="277"/>
      <c r="G17" s="277"/>
    </row>
    <row r="18" spans="1:7" ht="26.25" customHeight="1" x14ac:dyDescent="0.4">
      <c r="A18" s="279" t="s">
        <v>32</v>
      </c>
      <c r="B18" s="376" t="s">
        <v>5</v>
      </c>
      <c r="C18" s="376"/>
      <c r="D18" s="280"/>
      <c r="E18" s="280"/>
      <c r="F18" s="277"/>
      <c r="G18" s="277"/>
    </row>
    <row r="19" spans="1:7" ht="26.25" customHeight="1" x14ac:dyDescent="0.4">
      <c r="A19" s="279" t="s">
        <v>33</v>
      </c>
      <c r="B19" s="281" t="s">
        <v>7</v>
      </c>
      <c r="C19" s="322">
        <v>18</v>
      </c>
      <c r="D19" s="277"/>
      <c r="E19" s="277"/>
      <c r="F19" s="277"/>
      <c r="G19" s="277"/>
    </row>
    <row r="20" spans="1:7" ht="26.25" customHeight="1" x14ac:dyDescent="0.4">
      <c r="A20" s="279" t="s">
        <v>34</v>
      </c>
      <c r="B20" s="378" t="s">
        <v>138</v>
      </c>
      <c r="C20" s="378"/>
      <c r="D20" s="277"/>
      <c r="E20" s="277"/>
      <c r="F20" s="277"/>
      <c r="G20" s="277"/>
    </row>
    <row r="21" spans="1:7" ht="26.25" customHeight="1" x14ac:dyDescent="0.4">
      <c r="A21" s="279" t="s">
        <v>35</v>
      </c>
      <c r="B21" s="282" t="s">
        <v>143</v>
      </c>
      <c r="C21" s="282"/>
      <c r="D21" s="283"/>
      <c r="E21" s="283"/>
      <c r="F21" s="283"/>
      <c r="G21" s="283"/>
    </row>
    <row r="22" spans="1:7" ht="26.25" customHeight="1" x14ac:dyDescent="0.4">
      <c r="A22" s="279" t="s">
        <v>36</v>
      </c>
      <c r="B22" s="284">
        <v>42594</v>
      </c>
      <c r="C22" s="285"/>
      <c r="D22" s="277"/>
      <c r="E22" s="277"/>
      <c r="F22" s="277"/>
      <c r="G22" s="277"/>
    </row>
    <row r="23" spans="1:7" ht="26.25" customHeight="1" x14ac:dyDescent="0.4">
      <c r="A23" s="279" t="s">
        <v>37</v>
      </c>
      <c r="B23" s="284">
        <v>42597</v>
      </c>
      <c r="C23" s="285"/>
      <c r="D23" s="277"/>
      <c r="E23" s="277"/>
      <c r="F23" s="277"/>
      <c r="G23" s="277"/>
    </row>
    <row r="24" spans="1:7" ht="18.75" customHeight="1" x14ac:dyDescent="0.3">
      <c r="A24" s="279"/>
      <c r="B24" s="286"/>
      <c r="C24" s="277"/>
      <c r="D24" s="277"/>
      <c r="E24" s="277"/>
      <c r="F24" s="277"/>
      <c r="G24" s="277"/>
    </row>
    <row r="25" spans="1:7" ht="18.75" customHeight="1" x14ac:dyDescent="0.3">
      <c r="A25" s="278" t="s">
        <v>1</v>
      </c>
      <c r="B25" s="294" t="s">
        <v>124</v>
      </c>
      <c r="C25" s="277"/>
      <c r="D25" s="277"/>
      <c r="E25" s="277"/>
      <c r="F25" s="277"/>
      <c r="G25" s="277"/>
    </row>
    <row r="26" spans="1:7" ht="19.5" customHeight="1" x14ac:dyDescent="0.3">
      <c r="A26" s="277" t="s">
        <v>85</v>
      </c>
      <c r="B26" s="295" t="str">
        <f>B21</f>
        <v>Each uncoated tablet contains:Sumatriptan Succinate Ph. Eur. Equivalent to Sumatriptan 50 mg</v>
      </c>
      <c r="C26" s="277"/>
      <c r="D26" s="277"/>
      <c r="E26" s="277"/>
      <c r="F26" s="277"/>
      <c r="G26" s="277"/>
    </row>
    <row r="27" spans="1:7" ht="27" customHeight="1" x14ac:dyDescent="0.4">
      <c r="A27" s="296" t="s">
        <v>125</v>
      </c>
      <c r="B27" s="330">
        <v>94</v>
      </c>
      <c r="C27" s="277" t="str">
        <f>B20</f>
        <v xml:space="preserve">Sumatriptan </v>
      </c>
      <c r="D27" s="386" t="s">
        <v>126</v>
      </c>
      <c r="E27" s="387"/>
      <c r="F27" s="387"/>
      <c r="G27" s="387"/>
    </row>
    <row r="28" spans="1:7" ht="17.25" customHeight="1" x14ac:dyDescent="0.3">
      <c r="A28" s="297"/>
      <c r="B28" s="297"/>
      <c r="C28" s="297"/>
      <c r="D28" s="298"/>
      <c r="E28" s="298"/>
      <c r="F28" s="298"/>
      <c r="G28" s="298"/>
    </row>
    <row r="29" spans="1:7" ht="38.25" customHeight="1" x14ac:dyDescent="0.3">
      <c r="A29" s="292"/>
      <c r="B29" s="324" t="s">
        <v>127</v>
      </c>
      <c r="C29" s="326" t="s">
        <v>128</v>
      </c>
      <c r="D29" s="299" t="s">
        <v>129</v>
      </c>
      <c r="F29" s="311"/>
      <c r="G29" s="277"/>
    </row>
    <row r="30" spans="1:7" ht="26.25" customHeight="1" x14ac:dyDescent="0.4">
      <c r="A30" s="292"/>
      <c r="B30" s="300">
        <v>1</v>
      </c>
      <c r="C30" s="327">
        <v>171.8</v>
      </c>
      <c r="D30" s="325">
        <f t="shared" ref="D30:D39" si="0">IF(ISBLANK(C30),"-",C30/$C$41*$B$27)</f>
        <v>94.186948483310886</v>
      </c>
      <c r="F30" s="361" t="s">
        <v>130</v>
      </c>
      <c r="G30" s="362"/>
    </row>
    <row r="31" spans="1:7" ht="26.25" customHeight="1" x14ac:dyDescent="0.4">
      <c r="A31" s="292"/>
      <c r="B31" s="301">
        <v>2</v>
      </c>
      <c r="C31" s="328">
        <v>171.2</v>
      </c>
      <c r="D31" s="302">
        <f t="shared" si="0"/>
        <v>93.858006870447156</v>
      </c>
      <c r="F31" s="332" t="s">
        <v>42</v>
      </c>
      <c r="G31" s="333">
        <f>D41</f>
        <v>93.999999999999972</v>
      </c>
    </row>
    <row r="32" spans="1:7" ht="26.25" customHeight="1" x14ac:dyDescent="0.4">
      <c r="A32" s="292"/>
      <c r="B32" s="301">
        <v>3</v>
      </c>
      <c r="C32" s="328">
        <v>172.01</v>
      </c>
      <c r="D32" s="302">
        <f t="shared" si="0"/>
        <v>94.302078047813183</v>
      </c>
      <c r="F32" s="332" t="s">
        <v>131</v>
      </c>
      <c r="G32" s="334">
        <v>2.4</v>
      </c>
    </row>
    <row r="33" spans="1:7" ht="26.25" customHeight="1" x14ac:dyDescent="0.4">
      <c r="A33" s="292"/>
      <c r="B33" s="301">
        <v>4</v>
      </c>
      <c r="C33" s="328">
        <v>172.64</v>
      </c>
      <c r="D33" s="302">
        <f t="shared" si="0"/>
        <v>94.647466741320073</v>
      </c>
      <c r="F33" s="332" t="s">
        <v>132</v>
      </c>
      <c r="G33" s="333">
        <f>STDEV(D30:D39)</f>
        <v>0.76577689985650266</v>
      </c>
    </row>
    <row r="34" spans="1:7" ht="26.25" customHeight="1" x14ac:dyDescent="0.4">
      <c r="A34" s="292"/>
      <c r="B34" s="301">
        <v>5</v>
      </c>
      <c r="C34" s="328">
        <v>172.9</v>
      </c>
      <c r="D34" s="302">
        <f t="shared" si="0"/>
        <v>94.790008106894362</v>
      </c>
      <c r="F34" s="332" t="s">
        <v>133</v>
      </c>
      <c r="G34" s="333">
        <f>IF(OR(D41&lt;98.5,D41&gt;101.5),(IF(D41&lt;98.5,98.5,101.5)),G31)</f>
        <v>98.5</v>
      </c>
    </row>
    <row r="35" spans="1:7" ht="27" customHeight="1" x14ac:dyDescent="0.4">
      <c r="A35" s="292"/>
      <c r="B35" s="301">
        <v>6</v>
      </c>
      <c r="C35" s="328">
        <v>171.96</v>
      </c>
      <c r="D35" s="302">
        <f t="shared" si="0"/>
        <v>94.274666246741219</v>
      </c>
      <c r="F35" s="335" t="s">
        <v>134</v>
      </c>
      <c r="G35" s="336">
        <f>ABS(G34-G31)+(G32*G33)</f>
        <v>6.3378645596556344</v>
      </c>
    </row>
    <row r="36" spans="1:7" ht="26.25" customHeight="1" x14ac:dyDescent="0.4">
      <c r="A36" s="292"/>
      <c r="B36" s="301">
        <v>7</v>
      </c>
      <c r="C36" s="328">
        <v>170.18</v>
      </c>
      <c r="D36" s="302">
        <f t="shared" si="0"/>
        <v>93.298806128578846</v>
      </c>
    </row>
    <row r="37" spans="1:7" ht="26.25" customHeight="1" x14ac:dyDescent="0.4">
      <c r="A37" s="292"/>
      <c r="B37" s="301">
        <v>8</v>
      </c>
      <c r="C37" s="328">
        <v>168.69</v>
      </c>
      <c r="D37" s="302">
        <f t="shared" si="0"/>
        <v>92.481934456633951</v>
      </c>
    </row>
    <row r="38" spans="1:7" ht="26.25" customHeight="1" x14ac:dyDescent="0.4">
      <c r="A38" s="292"/>
      <c r="B38" s="301">
        <v>9</v>
      </c>
      <c r="C38" s="328">
        <v>170.19</v>
      </c>
      <c r="D38" s="302">
        <f t="shared" si="0"/>
        <v>93.304288488793233</v>
      </c>
    </row>
    <row r="39" spans="1:7" ht="27" customHeight="1" x14ac:dyDescent="0.4">
      <c r="A39" s="287"/>
      <c r="B39" s="303">
        <v>10</v>
      </c>
      <c r="C39" s="329">
        <v>173.02</v>
      </c>
      <c r="D39" s="304">
        <f t="shared" si="0"/>
        <v>94.855796429467105</v>
      </c>
    </row>
    <row r="40" spans="1:7" ht="18.75" customHeight="1" x14ac:dyDescent="0.3">
      <c r="A40" s="287"/>
      <c r="B40" s="301"/>
      <c r="C40" s="291"/>
      <c r="D40" s="323"/>
    </row>
    <row r="41" spans="1:7" ht="18.75" customHeight="1" x14ac:dyDescent="0.3">
      <c r="A41" s="298"/>
      <c r="B41" s="288" t="s">
        <v>135</v>
      </c>
      <c r="C41" s="331">
        <f>AVERAGE(C30:C39)</f>
        <v>171.459</v>
      </c>
      <c r="D41" s="306">
        <f>AVERAGE(D30:D39)</f>
        <v>93.999999999999972</v>
      </c>
    </row>
    <row r="42" spans="1:7" ht="18.75" customHeight="1" x14ac:dyDescent="0.3">
      <c r="A42" s="298"/>
      <c r="B42" s="288" t="s">
        <v>83</v>
      </c>
      <c r="C42" s="307">
        <f>STDEV(C30:C39)/C41</f>
        <v>8.146562764430881E-3</v>
      </c>
      <c r="D42" s="307">
        <f>STDEV(D30:D39)/D41</f>
        <v>8.146562764430881E-3</v>
      </c>
    </row>
    <row r="43" spans="1:7" ht="19.5" customHeight="1" x14ac:dyDescent="0.3">
      <c r="A43" s="298"/>
      <c r="B43" s="293" t="s">
        <v>20</v>
      </c>
      <c r="C43" s="308">
        <f>COUNT(C30:C39)</f>
        <v>10</v>
      </c>
      <c r="D43" s="308">
        <f>COUNT(D30:D39)</f>
        <v>10</v>
      </c>
    </row>
    <row r="44" spans="1:7" ht="18.75" customHeight="1" x14ac:dyDescent="0.3">
      <c r="A44" s="298"/>
      <c r="B44" s="309"/>
      <c r="C44" s="309"/>
      <c r="D44" s="290"/>
      <c r="E44" s="305"/>
      <c r="F44" s="289"/>
      <c r="G44" s="310"/>
    </row>
    <row r="45" spans="1:7" ht="18.75" customHeight="1" x14ac:dyDescent="0.3">
      <c r="A45" s="277"/>
      <c r="B45" s="277"/>
      <c r="C45" s="277"/>
      <c r="D45" s="277"/>
      <c r="E45" s="277"/>
      <c r="F45" s="277"/>
      <c r="G45" s="277"/>
    </row>
    <row r="46" spans="1:7" ht="19.5" customHeight="1" x14ac:dyDescent="0.3">
      <c r="A46" s="312"/>
      <c r="B46" s="312"/>
      <c r="C46" s="313"/>
      <c r="D46" s="313"/>
      <c r="E46" s="313"/>
      <c r="F46" s="313"/>
      <c r="G46" s="313"/>
    </row>
    <row r="47" spans="1:7" ht="18.75" customHeight="1" x14ac:dyDescent="0.3">
      <c r="A47" s="277"/>
      <c r="B47" s="354" t="s">
        <v>25</v>
      </c>
      <c r="C47" s="354"/>
      <c r="D47" s="277"/>
      <c r="E47" s="314" t="s">
        <v>26</v>
      </c>
      <c r="F47" s="315"/>
      <c r="G47" s="321" t="s">
        <v>27</v>
      </c>
    </row>
    <row r="48" spans="1:7" ht="60" customHeight="1" x14ac:dyDescent="0.3">
      <c r="A48" s="316" t="s">
        <v>28</v>
      </c>
      <c r="B48" s="317"/>
      <c r="C48" s="317"/>
      <c r="D48" s="277"/>
      <c r="E48" s="317"/>
      <c r="F48" s="309"/>
      <c r="G48" s="318"/>
    </row>
    <row r="49" spans="1:7" ht="60" customHeight="1" x14ac:dyDescent="0.3">
      <c r="A49" s="316" t="s">
        <v>29</v>
      </c>
      <c r="B49" s="319"/>
      <c r="C49" s="319"/>
      <c r="D49" s="277"/>
      <c r="E49" s="319"/>
      <c r="F49" s="309"/>
      <c r="G49" s="320"/>
    </row>
    <row r="56" spans="1:7" x14ac:dyDescent="0.2">
      <c r="A56" t="s">
        <v>86</v>
      </c>
    </row>
    <row r="57" spans="1:7" x14ac:dyDescent="0.2">
      <c r="A57" t="s">
        <v>87</v>
      </c>
      <c r="B57">
        <f>Uniformity!C46</f>
        <v>170.90600000000001</v>
      </c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44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Sumatriptan</vt:lpstr>
      <vt:lpstr>Weight Var.</vt:lpstr>
      <vt:lpstr>SST!Print_Area</vt:lpstr>
      <vt:lpstr>Sumatriptan!Print_Area</vt:lpstr>
      <vt:lpstr>Uniformity!Print_Area</vt:lpstr>
      <vt:lpstr>'Weight Var.'!Print_Area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2016-08-17T09:09:43Z</cp:lastPrinted>
  <dcterms:created xsi:type="dcterms:W3CDTF">2005-07-05T10:19:27Z</dcterms:created>
  <dcterms:modified xsi:type="dcterms:W3CDTF">2016-09-27T05:47:47Z</dcterms:modified>
</cp:coreProperties>
</file>