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 activeTab="2"/>
  </bookViews>
  <sheets>
    <sheet name="SST" sheetId="1" r:id="rId1"/>
    <sheet name="Uniformity" sheetId="2" r:id="rId2"/>
    <sheet name="SULPHAMETHOXAZOLE" sheetId="3" r:id="rId3"/>
    <sheet name="TRIMETHROPRIM" sheetId="4" r:id="rId4"/>
    <sheet name="SST (Trim)" sheetId="5" r:id="rId5"/>
  </sheets>
  <definedNames>
    <definedName name="_xlnm.Print_Area" localSheetId="2">SULPHAMETHOXAZOLE!$A$1:$I$250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3" i="4" l="1"/>
  <c r="F109" i="4"/>
  <c r="E111" i="4"/>
  <c r="G120" i="3"/>
  <c r="E110" i="3"/>
  <c r="B53" i="5"/>
  <c r="E51" i="5"/>
  <c r="D51" i="5"/>
  <c r="C51" i="5"/>
  <c r="B51" i="5"/>
  <c r="B52" i="5" s="1"/>
  <c r="B42" i="5"/>
  <c r="E51" i="1"/>
  <c r="D51" i="1"/>
  <c r="C51" i="1"/>
  <c r="B51" i="1"/>
  <c r="B42" i="1"/>
  <c r="B32" i="5" l="1"/>
  <c r="B31" i="5"/>
  <c r="E30" i="1"/>
  <c r="D30" i="1"/>
  <c r="C30" i="1"/>
  <c r="B30" i="1"/>
  <c r="B21" i="1"/>
  <c r="G76" i="3"/>
  <c r="B68" i="3"/>
  <c r="B57" i="3"/>
  <c r="G38" i="3"/>
  <c r="E38" i="3"/>
  <c r="B30" i="3"/>
  <c r="G76" i="4"/>
  <c r="B68" i="4"/>
  <c r="B57" i="4"/>
  <c r="B30" i="4"/>
  <c r="C120" i="4"/>
  <c r="B116" i="4"/>
  <c r="D101" i="4" s="1"/>
  <c r="D102" i="4" s="1"/>
  <c r="E113" i="4"/>
  <c r="E112" i="4"/>
  <c r="F112" i="4" s="1"/>
  <c r="F111" i="4"/>
  <c r="E110" i="4"/>
  <c r="F110" i="4" s="1"/>
  <c r="E109" i="4"/>
  <c r="E108" i="4"/>
  <c r="F108" i="4" s="1"/>
  <c r="B98" i="4"/>
  <c r="F95" i="4"/>
  <c r="D95" i="4"/>
  <c r="G94" i="4"/>
  <c r="E94" i="4"/>
  <c r="G93" i="4"/>
  <c r="E93" i="4"/>
  <c r="G92" i="4"/>
  <c r="E92" i="4"/>
  <c r="G91" i="4"/>
  <c r="E91" i="4"/>
  <c r="E95" i="4" s="1"/>
  <c r="B87" i="4"/>
  <c r="F97" i="4" s="1"/>
  <c r="B81" i="4"/>
  <c r="B83" i="4" s="1"/>
  <c r="B80" i="4"/>
  <c r="B79" i="4"/>
  <c r="C76" i="4"/>
  <c r="H71" i="4"/>
  <c r="G71" i="4"/>
  <c r="G70" i="4"/>
  <c r="H70" i="4" s="1"/>
  <c r="H69" i="4"/>
  <c r="G69" i="4"/>
  <c r="G68" i="4"/>
  <c r="H68" i="4" s="1"/>
  <c r="H67" i="4"/>
  <c r="G67" i="4"/>
  <c r="G66" i="4"/>
  <c r="H66" i="4" s="1"/>
  <c r="G65" i="4"/>
  <c r="H65" i="4" s="1"/>
  <c r="G64" i="4"/>
  <c r="H64" i="4" s="1"/>
  <c r="H63" i="4"/>
  <c r="G63" i="4"/>
  <c r="G62" i="4"/>
  <c r="H62" i="4" s="1"/>
  <c r="G61" i="4"/>
  <c r="H61" i="4" s="1"/>
  <c r="G60" i="4"/>
  <c r="H60" i="4" s="1"/>
  <c r="C56" i="4"/>
  <c r="B55" i="4"/>
  <c r="B45" i="4"/>
  <c r="D48" i="4" s="1"/>
  <c r="D49" i="4" s="1"/>
  <c r="F44" i="4"/>
  <c r="F42" i="4"/>
  <c r="D42" i="4"/>
  <c r="G41" i="4"/>
  <c r="E41" i="4"/>
  <c r="G39" i="4"/>
  <c r="E39" i="4"/>
  <c r="B34" i="4"/>
  <c r="D44" i="4" s="1"/>
  <c r="C120" i="3"/>
  <c r="B116" i="3"/>
  <c r="E113" i="3"/>
  <c r="F113" i="3" s="1"/>
  <c r="F112" i="3"/>
  <c r="E112" i="3"/>
  <c r="E111" i="3"/>
  <c r="F111" i="3" s="1"/>
  <c r="F110" i="3"/>
  <c r="E109" i="3"/>
  <c r="F109" i="3" s="1"/>
  <c r="B98" i="3"/>
  <c r="F95" i="3"/>
  <c r="D95" i="3"/>
  <c r="G94" i="3"/>
  <c r="E94" i="3"/>
  <c r="G93" i="3"/>
  <c r="E93" i="3"/>
  <c r="G92" i="3"/>
  <c r="E92" i="3"/>
  <c r="G91" i="3"/>
  <c r="E91" i="3"/>
  <c r="B87" i="3"/>
  <c r="F97" i="3" s="1"/>
  <c r="B81" i="3"/>
  <c r="B83" i="3" s="1"/>
  <c r="B80" i="3"/>
  <c r="B79" i="3"/>
  <c r="C76" i="3"/>
  <c r="H71" i="3"/>
  <c r="G71" i="3"/>
  <c r="G70" i="3"/>
  <c r="H70" i="3" s="1"/>
  <c r="G69" i="3"/>
  <c r="H69" i="3" s="1"/>
  <c r="G68" i="3"/>
  <c r="H68" i="3" s="1"/>
  <c r="H67" i="3"/>
  <c r="G67" i="3"/>
  <c r="G66" i="3"/>
  <c r="H66" i="3" s="1"/>
  <c r="H65" i="3"/>
  <c r="G65" i="3"/>
  <c r="G64" i="3"/>
  <c r="H64" i="3" s="1"/>
  <c r="H63" i="3"/>
  <c r="G63" i="3"/>
  <c r="H62" i="3"/>
  <c r="G62" i="3"/>
  <c r="G61" i="3"/>
  <c r="H61" i="3" s="1"/>
  <c r="G60" i="3"/>
  <c r="H60" i="3" s="1"/>
  <c r="C56" i="3"/>
  <c r="B55" i="3"/>
  <c r="B45" i="3"/>
  <c r="D48" i="3" s="1"/>
  <c r="D49" i="3" s="1"/>
  <c r="F42" i="3"/>
  <c r="D42" i="3"/>
  <c r="G41" i="3"/>
  <c r="E41" i="3"/>
  <c r="E39" i="3"/>
  <c r="B34" i="3"/>
  <c r="F44" i="3" s="1"/>
  <c r="D49" i="2"/>
  <c r="C46" i="2"/>
  <c r="C49" i="2" s="1"/>
  <c r="C45" i="2"/>
  <c r="D40" i="2"/>
  <c r="D36" i="2"/>
  <c r="D32" i="2"/>
  <c r="D28" i="2"/>
  <c r="D24" i="2"/>
  <c r="C19" i="2"/>
  <c r="B53" i="1"/>
  <c r="B52" i="1"/>
  <c r="B32" i="1"/>
  <c r="B31" i="1"/>
  <c r="I92" i="4" l="1"/>
  <c r="F115" i="4"/>
  <c r="F116" i="4" s="1"/>
  <c r="G95" i="4"/>
  <c r="I92" i="3"/>
  <c r="D101" i="3"/>
  <c r="D102" i="3" s="1"/>
  <c r="B69" i="3"/>
  <c r="E40" i="3"/>
  <c r="G40" i="3"/>
  <c r="G39" i="3"/>
  <c r="I39" i="3"/>
  <c r="H72" i="3"/>
  <c r="H73" i="3" s="1"/>
  <c r="G95" i="3"/>
  <c r="D103" i="3"/>
  <c r="H74" i="3"/>
  <c r="F45" i="3"/>
  <c r="F46" i="3" s="1"/>
  <c r="F98" i="3"/>
  <c r="F99" i="3" s="1"/>
  <c r="B69" i="4"/>
  <c r="E38" i="4"/>
  <c r="D50" i="4" s="1"/>
  <c r="D51" i="4" s="1"/>
  <c r="E40" i="4"/>
  <c r="G38" i="4"/>
  <c r="G40" i="4"/>
  <c r="G42" i="4" s="1"/>
  <c r="I39" i="4"/>
  <c r="H72" i="4"/>
  <c r="D45" i="4"/>
  <c r="D46" i="4" s="1"/>
  <c r="D103" i="4"/>
  <c r="D104" i="4" s="1"/>
  <c r="F98" i="4"/>
  <c r="F99" i="4" s="1"/>
  <c r="F45" i="4"/>
  <c r="F46" i="4" s="1"/>
  <c r="D25" i="2"/>
  <c r="D29" i="2"/>
  <c r="D33" i="2"/>
  <c r="D37" i="2"/>
  <c r="D41" i="2"/>
  <c r="D97" i="3"/>
  <c r="D98" i="3" s="1"/>
  <c r="D99" i="3" s="1"/>
  <c r="D105" i="3"/>
  <c r="H74" i="4"/>
  <c r="C50" i="2"/>
  <c r="D26" i="2"/>
  <c r="D30" i="2"/>
  <c r="D34" i="2"/>
  <c r="D38" i="2"/>
  <c r="D42" i="2"/>
  <c r="B49" i="2"/>
  <c r="D50" i="2"/>
  <c r="D44" i="3"/>
  <c r="D45" i="3" s="1"/>
  <c r="D46" i="3" s="1"/>
  <c r="E95" i="3"/>
  <c r="D97" i="4"/>
  <c r="D98" i="4" s="1"/>
  <c r="D99" i="4" s="1"/>
  <c r="D105" i="4"/>
  <c r="F117" i="4"/>
  <c r="D27" i="2"/>
  <c r="D31" i="2"/>
  <c r="D35" i="2"/>
  <c r="D39" i="2"/>
  <c r="D43" i="2"/>
  <c r="G120" i="4" l="1"/>
  <c r="D104" i="3"/>
  <c r="E108" i="3"/>
  <c r="F108" i="3" s="1"/>
  <c r="D50" i="3"/>
  <c r="D51" i="3" s="1"/>
  <c r="G42" i="3"/>
  <c r="D52" i="3"/>
  <c r="E42" i="3"/>
  <c r="D52" i="4"/>
  <c r="E42" i="4"/>
  <c r="H73" i="4"/>
  <c r="F115" i="3" l="1"/>
  <c r="F117" i="3"/>
  <c r="F116" i="3" l="1"/>
</calcChain>
</file>

<file path=xl/sharedStrings.xml><?xml version="1.0" encoding="utf-8"?>
<sst xmlns="http://schemas.openxmlformats.org/spreadsheetml/2006/main" count="434" uniqueCount="128">
  <si>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</si>
  <si>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</si>
  <si>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</si>
  <si>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</si>
  <si>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</si>
  <si>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</si>
  <si>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</si>
  <si>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NDQD201505221</t>
  </si>
  <si>
    <t>Weight (mg):</t>
  </si>
  <si>
    <t>each tablets contains sulphamethoxazole 800mg Trimethoprim 160mg.</t>
  </si>
  <si>
    <t>Standard Conc (mg/mL):</t>
  </si>
  <si>
    <t>Sulphamethoxazole 800mg Trimethoprim 160 per tablets</t>
  </si>
  <si>
    <t>2015-05-05 07:50:51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</si>
  <si>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</si>
  <si>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</si>
  <si>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</si>
  <si>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</si>
  <si>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</si>
  <si>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</si>
  <si>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</si>
  <si>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</si>
  <si>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</si>
  <si>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</si>
  <si>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</si>
  <si>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</si>
  <si>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</si>
  <si>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</si>
  <si>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</si>
  <si>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</si>
  <si>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</si>
  <si>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</si>
  <si>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</si>
  <si>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</si>
  <si>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</si>
  <si>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</si>
  <si>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</si>
  <si>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</si>
  <si>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</si>
  <si>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</si>
  <si>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</si>
  <si>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</si>
  <si>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</si>
  <si>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</si>
  <si>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</si>
  <si>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</si>
  <si>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</si>
  <si>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Sulfamethoxazole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</si>
  <si>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</si>
  <si>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</si>
  <si>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</si>
  <si>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</si>
  <si>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</si>
  <si>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</si>
  <si>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</si>
  <si>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</si>
  <si>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</si>
  <si>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</si>
  <si>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</si>
  <si>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</si>
  <si>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</si>
  <si>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</si>
  <si>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</si>
  <si>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</si>
  <si>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</si>
  <si>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</si>
  <si>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</si>
  <si>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</si>
  <si>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</si>
  <si>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</si>
  <si>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</si>
  <si>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</si>
  <si>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</si>
  <si>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</si>
  <si>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</si>
  <si>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</si>
  <si>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</si>
  <si>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</si>
  <si>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</si>
  <si>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</si>
  <si>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</si>
  <si>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</si>
  <si>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</si>
  <si>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</si>
  <si>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</si>
  <si>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</si>
  <si>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</si>
  <si>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</si>
  <si>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</si>
  <si>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</si>
  <si>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</si>
  <si>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</si>
  <si>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</si>
  <si>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</si>
  <si>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</si>
  <si>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</si>
  <si>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</si>
  <si>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</si>
  <si>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</si>
  <si>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</si>
  <si>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</si>
  <si>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</si>
  <si>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</si>
  <si>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</si>
  <si>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</si>
  <si>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</si>
  <si>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</si>
  <si>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</si>
  <si>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</si>
  <si>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</si>
  <si>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</si>
  <si>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</si>
  <si>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</si>
  <si>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</si>
  <si>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</si>
  <si>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</si>
  <si>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</si>
  <si>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</si>
  <si>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</si>
  <si>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</si>
  <si>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</si>
  <si>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</si>
  <si>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</si>
  <si>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</si>
  <si>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</si>
  <si>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18th May 2015</t>
  </si>
  <si>
    <t>Trimethoprim</t>
  </si>
  <si>
    <t>T7-2</t>
  </si>
  <si>
    <t>NQCL-PRS-S12-2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</si>
</sst>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23" fillId="2" borderId="0" xfId="1" applyFont="1" applyAlignment="1">
      <alignment horizontal="left"/>
    </xf>
    <xf numFmtId="2" fontId="23" fillId="2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5" fillId="2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B16" zoomScale="60" zoomScaleNormal="100" workbookViewId="0">
      <selection activeCell="E8" sqref="E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464" t="s">
        <v>46</v>
      </c>
      <c r="C18" s="417"/>
      <c r="D18" s="72"/>
      <c r="E18" s="72"/>
    </row>
    <row r="19" spans="1:6" ht="16.5" customHeight="1" x14ac:dyDescent="0.3">
      <c r="A19" s="11" t="s">
        <v>6</v>
      </c>
      <c r="B19" s="465">
        <v>99.58</v>
      </c>
      <c r="C19" s="72"/>
      <c r="D19" s="72"/>
      <c r="E19" s="72"/>
    </row>
    <row r="20" spans="1:6" ht="16.5" customHeight="1" x14ac:dyDescent="0.3">
      <c r="A20" s="7" t="s">
        <v>8</v>
      </c>
      <c r="B20" s="465">
        <v>16.54</v>
      </c>
      <c r="C20" s="72"/>
      <c r="D20" s="72"/>
      <c r="E20" s="72"/>
    </row>
    <row r="21" spans="1:6" ht="16.5" customHeight="1" x14ac:dyDescent="0.3">
      <c r="A21" s="7" t="s">
        <v>10</v>
      </c>
      <c r="B21" s="465">
        <f>B20/50*10/20</f>
        <v>0.16539999999999999</v>
      </c>
      <c r="C21" s="72"/>
      <c r="D21" s="72"/>
      <c r="E21" s="72"/>
    </row>
    <row r="22" spans="1:6" ht="15.75" customHeight="1" x14ac:dyDescent="0.25">
      <c r="A22" s="10"/>
      <c r="B22" s="72"/>
      <c r="C22" s="72"/>
      <c r="D22" s="72"/>
      <c r="E22" s="72"/>
    </row>
    <row r="23" spans="1:6" ht="16.5" customHeight="1" x14ac:dyDescent="0.3">
      <c r="A23" s="14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6" ht="16.5" customHeight="1" x14ac:dyDescent="0.3">
      <c r="A24" s="17">
        <v>1</v>
      </c>
      <c r="B24" s="18">
        <v>124494287</v>
      </c>
      <c r="C24" s="18">
        <v>7219.1</v>
      </c>
      <c r="D24" s="19">
        <v>0.9</v>
      </c>
      <c r="E24" s="20">
        <v>8</v>
      </c>
    </row>
    <row r="25" spans="1:6" ht="16.5" customHeight="1" x14ac:dyDescent="0.3">
      <c r="A25" s="17">
        <v>2</v>
      </c>
      <c r="B25" s="18">
        <v>124515508</v>
      </c>
      <c r="C25" s="18">
        <v>7110.8</v>
      </c>
      <c r="D25" s="19">
        <v>0.9</v>
      </c>
      <c r="E25" s="19">
        <v>8</v>
      </c>
    </row>
    <row r="26" spans="1:6" ht="16.5" customHeight="1" x14ac:dyDescent="0.3">
      <c r="A26" s="17">
        <v>3</v>
      </c>
      <c r="B26" s="18">
        <v>124690195</v>
      </c>
      <c r="C26" s="18">
        <v>7163.8</v>
      </c>
      <c r="D26" s="19">
        <v>0.9</v>
      </c>
      <c r="E26" s="19">
        <v>8</v>
      </c>
    </row>
    <row r="27" spans="1:6" ht="16.5" customHeight="1" x14ac:dyDescent="0.3">
      <c r="A27" s="17">
        <v>4</v>
      </c>
      <c r="B27" s="18">
        <v>124710354</v>
      </c>
      <c r="C27" s="18">
        <v>7165.5</v>
      </c>
      <c r="D27" s="19">
        <v>0.9</v>
      </c>
      <c r="E27" s="19">
        <v>8</v>
      </c>
    </row>
    <row r="28" spans="1:6" ht="16.5" customHeight="1" x14ac:dyDescent="0.3">
      <c r="A28" s="17">
        <v>5</v>
      </c>
      <c r="B28" s="18">
        <v>125055542</v>
      </c>
      <c r="C28" s="18">
        <v>7165</v>
      </c>
      <c r="D28" s="19">
        <v>0.9</v>
      </c>
      <c r="E28" s="19">
        <v>8</v>
      </c>
    </row>
    <row r="29" spans="1:6" ht="16.5" customHeight="1" x14ac:dyDescent="0.3">
      <c r="A29" s="17">
        <v>6</v>
      </c>
      <c r="B29" s="21">
        <v>125103762</v>
      </c>
      <c r="C29" s="21">
        <v>7148.2</v>
      </c>
      <c r="D29" s="22">
        <v>0.9</v>
      </c>
      <c r="E29" s="22">
        <v>8</v>
      </c>
    </row>
    <row r="30" spans="1:6" ht="16.5" customHeight="1" x14ac:dyDescent="0.3">
      <c r="A30" s="23" t="s">
        <v>18</v>
      </c>
      <c r="B30" s="24">
        <f>AVERAGE(B24:B29)</f>
        <v>124761608</v>
      </c>
      <c r="C30" s="25">
        <f>AVERAGE(C24:C29)</f>
        <v>7162.0666666666657</v>
      </c>
      <c r="D30" s="26">
        <f>AVERAGE(D24:D29)</f>
        <v>0.9</v>
      </c>
      <c r="E30" s="26">
        <f>AVERAGE(E24:E29)</f>
        <v>8</v>
      </c>
    </row>
    <row r="31" spans="1:6" ht="16.5" customHeight="1" x14ac:dyDescent="0.3">
      <c r="A31" s="27" t="s">
        <v>19</v>
      </c>
      <c r="B31" s="28">
        <f>(STDEV(B24:B29)/B30)</f>
        <v>2.100002156728053E-3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46</v>
      </c>
      <c r="C39" s="72"/>
      <c r="D39" s="72"/>
      <c r="E39" s="72"/>
    </row>
    <row r="40" spans="1:6" ht="16.5" customHeight="1" x14ac:dyDescent="0.3">
      <c r="A40" s="11" t="s">
        <v>6</v>
      </c>
      <c r="B40" s="12">
        <v>99.58</v>
      </c>
      <c r="C40" s="72"/>
      <c r="D40" s="72"/>
      <c r="E40" s="72"/>
    </row>
    <row r="41" spans="1:6" ht="16.5" customHeight="1" x14ac:dyDescent="0.3">
      <c r="A41" s="7" t="s">
        <v>8</v>
      </c>
      <c r="B41" s="12">
        <v>15.36</v>
      </c>
      <c r="C41" s="72"/>
      <c r="D41" s="72"/>
      <c r="E41" s="72"/>
    </row>
    <row r="42" spans="1:6" ht="16.5" customHeight="1" x14ac:dyDescent="0.3">
      <c r="A42" s="7" t="s">
        <v>10</v>
      </c>
      <c r="B42" s="13">
        <f>B41/25*15/50</f>
        <v>0.18431999999999998</v>
      </c>
      <c r="C42" s="72"/>
      <c r="D42" s="72"/>
      <c r="E42" s="72"/>
    </row>
    <row r="43" spans="1:6" ht="15.75" customHeight="1" x14ac:dyDescent="0.25">
      <c r="A43" s="10"/>
      <c r="B43" s="72"/>
      <c r="C43" s="72"/>
      <c r="D43" s="72"/>
      <c r="E43" s="72"/>
    </row>
    <row r="44" spans="1:6" ht="16.5" customHeight="1" x14ac:dyDescent="0.3">
      <c r="A44" s="14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6" ht="16.5" customHeight="1" x14ac:dyDescent="0.3">
      <c r="A45" s="17">
        <v>1</v>
      </c>
      <c r="B45" s="18">
        <v>166860905</v>
      </c>
      <c r="C45" s="18">
        <v>12818.7</v>
      </c>
      <c r="D45" s="19">
        <v>0.94</v>
      </c>
      <c r="E45" s="20">
        <v>8.25</v>
      </c>
    </row>
    <row r="46" spans="1:6" ht="16.5" customHeight="1" x14ac:dyDescent="0.3">
      <c r="A46" s="17">
        <v>2</v>
      </c>
      <c r="B46" s="18">
        <v>167257560</v>
      </c>
      <c r="C46" s="18">
        <v>12817.5</v>
      </c>
      <c r="D46" s="19">
        <v>0.95</v>
      </c>
      <c r="E46" s="19">
        <v>8.26</v>
      </c>
    </row>
    <row r="47" spans="1:6" ht="16.5" customHeight="1" x14ac:dyDescent="0.3">
      <c r="A47" s="17">
        <v>3</v>
      </c>
      <c r="B47" s="18">
        <v>167616800</v>
      </c>
      <c r="C47" s="18">
        <v>12854.3</v>
      </c>
      <c r="D47" s="19">
        <v>0.95</v>
      </c>
      <c r="E47" s="19">
        <v>8.27</v>
      </c>
    </row>
    <row r="48" spans="1:6" ht="16.5" customHeight="1" x14ac:dyDescent="0.3">
      <c r="A48" s="17">
        <v>4</v>
      </c>
      <c r="B48" s="18">
        <v>167556802</v>
      </c>
      <c r="C48" s="18">
        <v>12875.3</v>
      </c>
      <c r="D48" s="19">
        <v>0.94</v>
      </c>
      <c r="E48" s="19">
        <v>8.27</v>
      </c>
    </row>
    <row r="49" spans="1:7" ht="16.5" customHeight="1" x14ac:dyDescent="0.3">
      <c r="A49" s="17">
        <v>5</v>
      </c>
      <c r="B49" s="18">
        <v>167712293</v>
      </c>
      <c r="C49" s="18">
        <v>12920.2</v>
      </c>
      <c r="D49" s="19">
        <v>0.94</v>
      </c>
      <c r="E49" s="19">
        <v>8.27</v>
      </c>
    </row>
    <row r="50" spans="1:7" ht="16.5" customHeight="1" x14ac:dyDescent="0.3">
      <c r="A50" s="17">
        <v>6</v>
      </c>
      <c r="B50" s="21">
        <v>167869753</v>
      </c>
      <c r="C50" s="21">
        <v>12901.6</v>
      </c>
      <c r="D50" s="22">
        <v>0.96</v>
      </c>
      <c r="E50" s="22">
        <v>8.27</v>
      </c>
    </row>
    <row r="51" spans="1:7" ht="16.5" customHeight="1" x14ac:dyDescent="0.3">
      <c r="A51" s="23" t="s">
        <v>18</v>
      </c>
      <c r="B51" s="24">
        <f>AVERAGE(B45:B50)</f>
        <v>167479018.83333334</v>
      </c>
      <c r="C51" s="25">
        <f>AVERAGE(C45:C50)</f>
        <v>12864.6</v>
      </c>
      <c r="D51" s="26">
        <f>AVERAGE(D45:D50)</f>
        <v>0.94666666666666666</v>
      </c>
      <c r="E51" s="26">
        <f>AVERAGE(E45:E50)</f>
        <v>8.2649999999999988</v>
      </c>
    </row>
    <row r="52" spans="1:7" ht="16.5" customHeight="1" x14ac:dyDescent="0.3">
      <c r="A52" s="27" t="s">
        <v>19</v>
      </c>
      <c r="B52" s="28">
        <f>(STDEV(B45:B50)/B51)</f>
        <v>2.1746407895449891E-3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1" t="s">
        <v>31</v>
      </c>
      <c r="B11" s="472"/>
      <c r="C11" s="472"/>
      <c r="D11" s="472"/>
      <c r="E11" s="472"/>
      <c r="F11" s="473"/>
      <c r="G11" s="91"/>
    </row>
    <row r="12" spans="1:7" ht="16.5" customHeight="1" x14ac:dyDescent="0.3">
      <c r="A12" s="470" t="s">
        <v>32</v>
      </c>
      <c r="B12" s="470"/>
      <c r="C12" s="470"/>
      <c r="D12" s="470"/>
      <c r="E12" s="470"/>
      <c r="F12" s="470"/>
      <c r="G12" s="90"/>
    </row>
    <row r="14" spans="1:7" ht="16.5" customHeight="1" x14ac:dyDescent="0.3">
      <c r="A14" s="475" t="s">
        <v>33</v>
      </c>
      <c r="B14" s="475"/>
      <c r="C14" s="60" t="s">
        <v>5</v>
      </c>
    </row>
    <row r="15" spans="1:7" ht="16.5" customHeight="1" x14ac:dyDescent="0.3">
      <c r="A15" s="475" t="s">
        <v>34</v>
      </c>
      <c r="B15" s="475"/>
      <c r="C15" s="60" t="s">
        <v>7</v>
      </c>
    </row>
    <row r="16" spans="1:7" ht="16.5" customHeight="1" x14ac:dyDescent="0.3">
      <c r="A16" s="475" t="s">
        <v>35</v>
      </c>
      <c r="B16" s="475"/>
      <c r="C16" s="60" t="s">
        <v>9</v>
      </c>
    </row>
    <row r="17" spans="1:5" ht="16.5" customHeight="1" x14ac:dyDescent="0.3">
      <c r="A17" s="475" t="s">
        <v>36</v>
      </c>
      <c r="B17" s="475"/>
      <c r="C17" s="60" t="s">
        <v>11</v>
      </c>
    </row>
    <row r="18" spans="1:5" ht="16.5" customHeight="1" x14ac:dyDescent="0.3">
      <c r="A18" s="475" t="s">
        <v>37</v>
      </c>
      <c r="B18" s="475"/>
      <c r="C18" s="97" t="s">
        <v>12</v>
      </c>
    </row>
    <row r="19" spans="1:5" ht="16.5" customHeight="1" x14ac:dyDescent="0.3">
      <c r="A19" s="475" t="s">
        <v>38</v>
      </c>
      <c r="B19" s="47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0" t="s">
        <v>1</v>
      </c>
      <c r="B21" s="470"/>
      <c r="C21" s="59" t="s">
        <v>39</v>
      </c>
      <c r="D21" s="66"/>
    </row>
    <row r="22" spans="1:5" ht="15.75" customHeight="1" x14ac:dyDescent="0.3">
      <c r="A22" s="474"/>
      <c r="B22" s="474"/>
      <c r="C22" s="57"/>
      <c r="D22" s="474"/>
      <c r="E22" s="47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1043.06</v>
      </c>
      <c r="D24" s="87">
        <f t="shared" ref="D24:D43" si="0">(C24-$C$46)/$C$46</f>
        <v>3.5845052771747528E-3</v>
      </c>
      <c r="E24" s="53"/>
    </row>
    <row r="25" spans="1:5" ht="15.75" customHeight="1" x14ac:dyDescent="0.3">
      <c r="C25" s="95">
        <v>1020.28</v>
      </c>
      <c r="D25" s="88">
        <f t="shared" si="0"/>
        <v>-1.8333366206933557E-2</v>
      </c>
      <c r="E25" s="53"/>
    </row>
    <row r="26" spans="1:5" ht="15.75" customHeight="1" x14ac:dyDescent="0.3">
      <c r="C26" s="95">
        <v>1046.08</v>
      </c>
      <c r="D26" s="88">
        <f t="shared" si="0"/>
        <v>6.4902108031627591E-3</v>
      </c>
      <c r="E26" s="53"/>
    </row>
    <row r="27" spans="1:5" ht="15.75" customHeight="1" x14ac:dyDescent="0.3">
      <c r="C27" s="95">
        <v>1041.78</v>
      </c>
      <c r="D27" s="88">
        <f t="shared" si="0"/>
        <v>2.3529479681467422E-3</v>
      </c>
      <c r="E27" s="53"/>
    </row>
    <row r="28" spans="1:5" ht="15.75" customHeight="1" x14ac:dyDescent="0.3">
      <c r="C28" s="95">
        <v>1048.74</v>
      </c>
      <c r="D28" s="88">
        <f t="shared" si="0"/>
        <v>9.049540835986726E-3</v>
      </c>
      <c r="E28" s="53"/>
    </row>
    <row r="29" spans="1:5" ht="15.75" customHeight="1" x14ac:dyDescent="0.3">
      <c r="C29" s="95">
        <v>1046.3399999999999</v>
      </c>
      <c r="D29" s="88">
        <f t="shared" si="0"/>
        <v>6.7403708815590695E-3</v>
      </c>
      <c r="E29" s="53"/>
    </row>
    <row r="30" spans="1:5" ht="15.75" customHeight="1" x14ac:dyDescent="0.3">
      <c r="C30" s="95">
        <v>1043.77</v>
      </c>
      <c r="D30" s="88">
        <f t="shared" si="0"/>
        <v>4.2676347220262766E-3</v>
      </c>
      <c r="E30" s="53"/>
    </row>
    <row r="31" spans="1:5" ht="15.75" customHeight="1" x14ac:dyDescent="0.3">
      <c r="C31" s="95">
        <v>1049.2</v>
      </c>
      <c r="D31" s="88">
        <f t="shared" si="0"/>
        <v>9.4921317439187122E-3</v>
      </c>
      <c r="E31" s="53"/>
    </row>
    <row r="32" spans="1:5" ht="15.75" customHeight="1" x14ac:dyDescent="0.3">
      <c r="C32" s="95">
        <v>1025</v>
      </c>
      <c r="D32" s="88">
        <f t="shared" si="0"/>
        <v>-1.3791998629892646E-2</v>
      </c>
      <c r="E32" s="53"/>
    </row>
    <row r="33" spans="1:7" ht="15.75" customHeight="1" x14ac:dyDescent="0.3">
      <c r="C33" s="95">
        <v>1052.69</v>
      </c>
      <c r="D33" s="88">
        <f t="shared" si="0"/>
        <v>1.2850049719315476E-2</v>
      </c>
      <c r="E33" s="53"/>
    </row>
    <row r="34" spans="1:7" ht="15.75" customHeight="1" x14ac:dyDescent="0.3">
      <c r="C34" s="95">
        <v>1028.29</v>
      </c>
      <c r="D34" s="88">
        <f t="shared" si="0"/>
        <v>-1.0626511484031558E-2</v>
      </c>
      <c r="E34" s="53"/>
    </row>
    <row r="35" spans="1:7" ht="15.75" customHeight="1" x14ac:dyDescent="0.3">
      <c r="C35" s="95">
        <v>1033.1300000000001</v>
      </c>
      <c r="D35" s="88">
        <f t="shared" si="0"/>
        <v>-5.9696854092691539E-3</v>
      </c>
      <c r="E35" s="53"/>
    </row>
    <row r="36" spans="1:7" ht="15.75" customHeight="1" x14ac:dyDescent="0.3">
      <c r="C36" s="95">
        <v>1050.1300000000001</v>
      </c>
      <c r="D36" s="88">
        <f t="shared" si="0"/>
        <v>1.0386935101259456E-2</v>
      </c>
      <c r="E36" s="53"/>
    </row>
    <row r="37" spans="1:7" ht="15.75" customHeight="1" x14ac:dyDescent="0.3">
      <c r="C37" s="95">
        <v>1027.71</v>
      </c>
      <c r="D37" s="88">
        <f t="shared" si="0"/>
        <v>-1.1184560889684817E-2</v>
      </c>
      <c r="E37" s="53"/>
    </row>
    <row r="38" spans="1:7" ht="15.75" customHeight="1" x14ac:dyDescent="0.3">
      <c r="C38" s="95">
        <v>1036.7</v>
      </c>
      <c r="D38" s="88">
        <f t="shared" si="0"/>
        <v>-2.5347951020582076E-3</v>
      </c>
      <c r="E38" s="53"/>
    </row>
    <row r="39" spans="1:7" ht="15.75" customHeight="1" x14ac:dyDescent="0.3">
      <c r="C39" s="95">
        <v>1027.97</v>
      </c>
      <c r="D39" s="88">
        <f t="shared" si="0"/>
        <v>-1.0934400811288505E-2</v>
      </c>
      <c r="E39" s="53"/>
    </row>
    <row r="40" spans="1:7" ht="15.75" customHeight="1" x14ac:dyDescent="0.3">
      <c r="C40" s="95">
        <v>1060.6500000000001</v>
      </c>
      <c r="D40" s="88">
        <f t="shared" si="0"/>
        <v>2.0508796734833613E-2</v>
      </c>
      <c r="E40" s="53"/>
    </row>
    <row r="41" spans="1:7" ht="15.75" customHeight="1" x14ac:dyDescent="0.3">
      <c r="C41" s="95">
        <v>1031.0899999999999</v>
      </c>
      <c r="D41" s="88">
        <f t="shared" si="0"/>
        <v>-7.9324798705327718E-3</v>
      </c>
      <c r="E41" s="53"/>
    </row>
    <row r="42" spans="1:7" ht="15.75" customHeight="1" x14ac:dyDescent="0.3">
      <c r="C42" s="95">
        <v>1033.51</v>
      </c>
      <c r="D42" s="88">
        <f t="shared" si="0"/>
        <v>-5.6040668331515699E-3</v>
      </c>
      <c r="E42" s="53"/>
    </row>
    <row r="43" spans="1:7" ht="16.5" customHeight="1" x14ac:dyDescent="0.3">
      <c r="C43" s="96">
        <v>1040.57</v>
      </c>
      <c r="D43" s="89">
        <f t="shared" si="0"/>
        <v>1.1887414494561417E-3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20786.690000000002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1039.3345000000002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8">
        <f>C46</f>
        <v>1039.3345000000002</v>
      </c>
      <c r="C49" s="93">
        <f>-IF(C46&lt;=80,10%,IF(C46&lt;250,7.5%,5%))</f>
        <v>-0.05</v>
      </c>
      <c r="D49" s="81">
        <f>IF(C46&lt;=80,C46*0.9,IF(C46&lt;250,C46*0.925,C46*0.95))</f>
        <v>987.36777500000005</v>
      </c>
    </row>
    <row r="50" spans="1:6" ht="17.25" customHeight="1" x14ac:dyDescent="0.3">
      <c r="B50" s="469"/>
      <c r="C50" s="94">
        <f>IF(C46&lt;=80, 10%, IF(C46&lt;250, 7.5%, 5%))</f>
        <v>0.05</v>
      </c>
      <c r="D50" s="81">
        <f>IF(C46&lt;=80, C46*1.1, IF(C46&lt;250, C46*1.075, C46*1.05))</f>
        <v>1091.3012250000002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C1" zoomScale="60" zoomScaleNormal="60" workbookViewId="0">
      <selection activeCell="G113" sqref="G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45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100" t="s">
        <v>33</v>
      </c>
      <c r="B18" s="507" t="s">
        <v>5</v>
      </c>
      <c r="C18" s="507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2" t="s">
        <v>9</v>
      </c>
      <c r="C20" s="51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104"/>
    </row>
    <row r="22" spans="1:14" ht="26.25" customHeight="1" x14ac:dyDescent="0.4">
      <c r="A22" s="100" t="s">
        <v>37</v>
      </c>
      <c r="B22" s="105" t="s">
        <v>124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7" t="s">
        <v>46</v>
      </c>
      <c r="C26" s="507"/>
    </row>
    <row r="27" spans="1:14" ht="26.25" customHeight="1" x14ac:dyDescent="0.4">
      <c r="A27" s="109" t="s">
        <v>47</v>
      </c>
      <c r="B27" s="505" t="s">
        <v>127</v>
      </c>
      <c r="C27" s="505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48</v>
      </c>
      <c r="B29" s="111">
        <v>0</v>
      </c>
      <c r="C29" s="482" t="s">
        <v>49</v>
      </c>
      <c r="D29" s="483"/>
      <c r="E29" s="483"/>
      <c r="F29" s="483"/>
      <c r="G29" s="484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5" t="s">
        <v>52</v>
      </c>
      <c r="D31" s="486"/>
      <c r="E31" s="486"/>
      <c r="F31" s="486"/>
      <c r="G31" s="486"/>
      <c r="H31" s="487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5" t="s">
        <v>54</v>
      </c>
      <c r="D32" s="486"/>
      <c r="E32" s="486"/>
      <c r="F32" s="486"/>
      <c r="G32" s="486"/>
      <c r="H32" s="48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8" t="s">
        <v>58</v>
      </c>
      <c r="E36" s="506"/>
      <c r="F36" s="488" t="s">
        <v>59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10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20</v>
      </c>
      <c r="C38" s="131">
        <v>1</v>
      </c>
      <c r="D38" s="132">
        <v>125159327</v>
      </c>
      <c r="E38" s="133">
        <f>IF(ISBLANK(D38),"-",$D$48/$D$45*D38)</f>
        <v>121583761.35027091</v>
      </c>
      <c r="F38" s="315">
        <v>136444256</v>
      </c>
      <c r="G38" s="134">
        <f>IF(ISBLANK(F38),"-",$D$48/$F$45*F38)</f>
        <v>121727696.97136635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6">
        <v>2</v>
      </c>
      <c r="D39" s="137">
        <v>125240612</v>
      </c>
      <c r="E39" s="138">
        <f>IF(ISBLANK(D39),"-",$D$48/$D$45*D39)</f>
        <v>121662724.19130118</v>
      </c>
      <c r="F39" s="320">
        <v>136489507</v>
      </c>
      <c r="G39" s="139">
        <f>IF(ISBLANK(F39),"-",$D$48/$F$45*F39)</f>
        <v>121768067.30410978</v>
      </c>
      <c r="I39" s="490">
        <f>ABS((F43/D43*D42)-F42)/D42</f>
        <v>1.7446153299057975E-3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6">
        <v>3</v>
      </c>
      <c r="D40" s="137">
        <v>125048816</v>
      </c>
      <c r="E40" s="138">
        <f>IF(ISBLANK(D40),"-",$D$48/$D$45*D40)</f>
        <v>121476407.44087684</v>
      </c>
      <c r="F40" s="320">
        <v>136538184</v>
      </c>
      <c r="G40" s="139">
        <f>IF(ISBLANK(F40),"-",$D$48/$F$45*F40)</f>
        <v>121811494.11648858</v>
      </c>
      <c r="I40" s="490"/>
      <c r="L40" s="117"/>
      <c r="M40" s="117"/>
      <c r="N40" s="140"/>
    </row>
    <row r="41" spans="1:14" ht="27" customHeight="1" x14ac:dyDescent="0.4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69</v>
      </c>
      <c r="B42" s="125">
        <v>1</v>
      </c>
      <c r="C42" s="146" t="s">
        <v>70</v>
      </c>
      <c r="D42" s="147">
        <f>AVERAGE(D38:D41)</f>
        <v>125149585</v>
      </c>
      <c r="E42" s="148">
        <f>AVERAGE(E38:E41)</f>
        <v>121574297.66081631</v>
      </c>
      <c r="F42" s="147">
        <f>AVERAGE(F38:F41)</f>
        <v>136490649</v>
      </c>
      <c r="G42" s="149">
        <f>AVERAGE(G38:G41)</f>
        <v>121769086.13065489</v>
      </c>
      <c r="H42" s="150"/>
    </row>
    <row r="43" spans="1:14" ht="26.25" customHeight="1" x14ac:dyDescent="0.4">
      <c r="A43" s="124" t="s">
        <v>71</v>
      </c>
      <c r="B43" s="125">
        <v>1</v>
      </c>
      <c r="C43" s="151" t="s">
        <v>72</v>
      </c>
      <c r="D43" s="152">
        <v>16.54</v>
      </c>
      <c r="E43" s="140"/>
      <c r="F43" s="152">
        <v>18.010000000000002</v>
      </c>
      <c r="H43" s="150"/>
    </row>
    <row r="44" spans="1:14" ht="26.25" customHeight="1" x14ac:dyDescent="0.4">
      <c r="A44" s="124" t="s">
        <v>73</v>
      </c>
      <c r="B44" s="125">
        <v>1</v>
      </c>
      <c r="C44" s="153" t="s">
        <v>74</v>
      </c>
      <c r="D44" s="154">
        <f>D43*$B$34</f>
        <v>16.54</v>
      </c>
      <c r="E44" s="155"/>
      <c r="F44" s="154">
        <f>F43*$B$34</f>
        <v>18.010000000000002</v>
      </c>
      <c r="H44" s="150"/>
    </row>
    <row r="45" spans="1:14" ht="19.5" customHeight="1" x14ac:dyDescent="0.3">
      <c r="A45" s="124" t="s">
        <v>75</v>
      </c>
      <c r="B45" s="156">
        <f>(B44/B43)*(B42/B41)*(B40/B39)*(B38/B37)*B36</f>
        <v>100</v>
      </c>
      <c r="C45" s="153" t="s">
        <v>76</v>
      </c>
      <c r="D45" s="157">
        <f>D44*$B$30/100</f>
        <v>16.470531999999999</v>
      </c>
      <c r="E45" s="158"/>
      <c r="F45" s="157">
        <f>F44*$B$30/100</f>
        <v>17.934358000000003</v>
      </c>
      <c r="H45" s="150"/>
    </row>
    <row r="46" spans="1:14" ht="19.5" customHeight="1" x14ac:dyDescent="0.3">
      <c r="A46" s="476" t="s">
        <v>77</v>
      </c>
      <c r="B46" s="477"/>
      <c r="C46" s="153" t="s">
        <v>78</v>
      </c>
      <c r="D46" s="159">
        <f>D45/$B$45</f>
        <v>0.16470531999999999</v>
      </c>
      <c r="E46" s="160"/>
      <c r="F46" s="161">
        <f>F45/$B$45</f>
        <v>0.17934358000000003</v>
      </c>
      <c r="H46" s="150"/>
    </row>
    <row r="47" spans="1:14" ht="27" customHeight="1" x14ac:dyDescent="0.4">
      <c r="A47" s="478"/>
      <c r="B47" s="479"/>
      <c r="C47" s="162" t="s">
        <v>79</v>
      </c>
      <c r="D47" s="163">
        <v>0.16</v>
      </c>
      <c r="E47" s="164"/>
      <c r="F47" s="160"/>
      <c r="H47" s="150"/>
    </row>
    <row r="48" spans="1:14" ht="18.75" x14ac:dyDescent="0.3">
      <c r="C48" s="165" t="s">
        <v>80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81</v>
      </c>
      <c r="D49" s="168">
        <f>D48/B34</f>
        <v>16</v>
      </c>
      <c r="F49" s="166"/>
      <c r="H49" s="150"/>
    </row>
    <row r="50" spans="1:12" ht="18.75" x14ac:dyDescent="0.3">
      <c r="C50" s="122" t="s">
        <v>82</v>
      </c>
      <c r="D50" s="169">
        <f>AVERAGE(E38:E41,G38:G41)</f>
        <v>121671691.89573561</v>
      </c>
      <c r="F50" s="170"/>
      <c r="H50" s="150"/>
    </row>
    <row r="51" spans="1:12" ht="18.75" x14ac:dyDescent="0.3">
      <c r="C51" s="124" t="s">
        <v>83</v>
      </c>
      <c r="D51" s="171">
        <f>STDEV(E38:E41,G38:G41)/D50</f>
        <v>1.0259906964363058E-3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84</v>
      </c>
    </row>
    <row r="55" spans="1:12" ht="18.75" x14ac:dyDescent="0.3">
      <c r="A55" s="99" t="s">
        <v>85</v>
      </c>
      <c r="B55" s="176" t="str">
        <f>B21</f>
        <v>Sulphamethoxazole 800mg Trimethoprim 160 per tablets</v>
      </c>
    </row>
    <row r="56" spans="1:12" ht="26.25" customHeight="1" x14ac:dyDescent="0.4">
      <c r="A56" s="177" t="s">
        <v>86</v>
      </c>
      <c r="B56" s="178">
        <v>800</v>
      </c>
      <c r="C56" s="99" t="str">
        <f>B20</f>
        <v>each tablets contains sulphamethoxazole 800mg Trimethoprim 160mg.</v>
      </c>
      <c r="H56" s="179"/>
    </row>
    <row r="57" spans="1:12" ht="18.75" x14ac:dyDescent="0.3">
      <c r="A57" s="176" t="s">
        <v>87</v>
      </c>
      <c r="B57" s="180">
        <f>Uniformity!C46</f>
        <v>1039.3345000000002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81" t="s">
        <v>89</v>
      </c>
      <c r="E59" s="182" t="s">
        <v>61</v>
      </c>
      <c r="F59" s="182" t="s">
        <v>62</v>
      </c>
      <c r="G59" s="182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2</v>
      </c>
      <c r="C60" s="493" t="s">
        <v>93</v>
      </c>
      <c r="D60" s="496">
        <v>518.08000000000004</v>
      </c>
      <c r="E60" s="183">
        <v>1</v>
      </c>
      <c r="F60" s="184">
        <v>119246532</v>
      </c>
      <c r="G60" s="185">
        <f>IF(ISBLANK(F60),"-",(F60/$D$50*$D$47*$B$68)*($B$57/$D$60))</f>
        <v>786.45652179420858</v>
      </c>
      <c r="H60" s="186">
        <f t="shared" ref="H60:H71" si="0">IF(ISBLANK(F60),"-",G60/$B$56)</f>
        <v>0.98307065224276069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4"/>
      <c r="D61" s="497"/>
      <c r="E61" s="187">
        <v>2</v>
      </c>
      <c r="F61" s="137">
        <v>118152282</v>
      </c>
      <c r="G61" s="188">
        <f>IF(ISBLANK(F61),"-",(F61/$D$50*$D$47*$B$68)*($B$57/$D$60))</f>
        <v>779.23970773228416</v>
      </c>
      <c r="H61" s="189">
        <f t="shared" si="0"/>
        <v>0.97404963466535521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4"/>
      <c r="D62" s="497"/>
      <c r="E62" s="187">
        <v>3</v>
      </c>
      <c r="F62" s="190">
        <v>118571569</v>
      </c>
      <c r="G62" s="188">
        <f>IF(ISBLANK(F62),"-",(F62/$D$50*$D$47*$B$68)*($B$57/$D$60))</f>
        <v>782.00499566244832</v>
      </c>
      <c r="H62" s="189">
        <f t="shared" si="0"/>
        <v>0.97750624457806046</v>
      </c>
      <c r="L62" s="112"/>
    </row>
    <row r="63" spans="1:12" ht="27" customHeight="1" x14ac:dyDescent="0.4">
      <c r="A63" s="124" t="s">
        <v>96</v>
      </c>
      <c r="B63" s="125">
        <v>1</v>
      </c>
      <c r="C63" s="504"/>
      <c r="D63" s="498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3" t="s">
        <v>98</v>
      </c>
      <c r="D64" s="496">
        <v>520.95000000000005</v>
      </c>
      <c r="E64" s="183">
        <v>1</v>
      </c>
      <c r="F64" s="184">
        <v>119464646</v>
      </c>
      <c r="G64" s="193">
        <f>IF(ISBLANK(F64),"-",(F64/$D$50*$D$47*$B$68)*($B$57/$D$64))</f>
        <v>783.55438605645952</v>
      </c>
      <c r="H64" s="194">
        <f t="shared" si="0"/>
        <v>0.97944298257057438</v>
      </c>
    </row>
    <row r="65" spans="1:8" ht="26.25" customHeight="1" x14ac:dyDescent="0.4">
      <c r="A65" s="124" t="s">
        <v>99</v>
      </c>
      <c r="B65" s="125">
        <v>1</v>
      </c>
      <c r="C65" s="494"/>
      <c r="D65" s="497"/>
      <c r="E65" s="187">
        <v>2</v>
      </c>
      <c r="F65" s="137">
        <v>118683931</v>
      </c>
      <c r="G65" s="195">
        <f>IF(ISBLANK(F65),"-",(F65/$D$50*$D$47*$B$68)*($B$57/$D$64))</f>
        <v>778.43376934689286</v>
      </c>
      <c r="H65" s="196">
        <f t="shared" si="0"/>
        <v>0.97304221168361604</v>
      </c>
    </row>
    <row r="66" spans="1:8" ht="26.25" customHeight="1" x14ac:dyDescent="0.4">
      <c r="A66" s="124" t="s">
        <v>100</v>
      </c>
      <c r="B66" s="125">
        <v>1</v>
      </c>
      <c r="C66" s="494"/>
      <c r="D66" s="497"/>
      <c r="E66" s="187">
        <v>3</v>
      </c>
      <c r="F66" s="137">
        <v>118872418</v>
      </c>
      <c r="G66" s="195">
        <f>IF(ISBLANK(F66),"-",(F66/$D$50*$D$47*$B$68)*($B$57/$D$64))</f>
        <v>779.67003313295561</v>
      </c>
      <c r="H66" s="196">
        <f t="shared" si="0"/>
        <v>0.97458754141619452</v>
      </c>
    </row>
    <row r="67" spans="1:8" ht="27" customHeight="1" x14ac:dyDescent="0.4">
      <c r="A67" s="124" t="s">
        <v>101</v>
      </c>
      <c r="B67" s="125">
        <v>1</v>
      </c>
      <c r="C67" s="504"/>
      <c r="D67" s="498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102</v>
      </c>
      <c r="B68" s="199">
        <f>(B67/B66)*(B65/B64)*(B63/B62)*(B61/B60)*B59</f>
        <v>2500</v>
      </c>
      <c r="C68" s="493" t="s">
        <v>103</v>
      </c>
      <c r="D68" s="496">
        <v>519.79</v>
      </c>
      <c r="E68" s="183">
        <v>1</v>
      </c>
      <c r="F68" s="184">
        <v>119195763</v>
      </c>
      <c r="G68" s="193">
        <f>IF(ISBLANK(F68),"-",(F68/$D$50*$D$47*$B$68)*($B$57/$D$68))</f>
        <v>783.53551396478292</v>
      </c>
      <c r="H68" s="189">
        <f t="shared" si="0"/>
        <v>0.97941939245597864</v>
      </c>
    </row>
    <row r="69" spans="1:8" ht="27" customHeight="1" x14ac:dyDescent="0.4">
      <c r="A69" s="172" t="s">
        <v>104</v>
      </c>
      <c r="B69" s="200">
        <f>(D47*B68)/B56*B57</f>
        <v>519.66725000000008</v>
      </c>
      <c r="C69" s="494"/>
      <c r="D69" s="497"/>
      <c r="E69" s="187">
        <v>2</v>
      </c>
      <c r="F69" s="137">
        <v>117394368</v>
      </c>
      <c r="G69" s="195">
        <f>IF(ISBLANK(F69),"-",(F69/$D$50*$D$47*$B$68)*($B$57/$D$68))</f>
        <v>771.69401119946576</v>
      </c>
      <c r="H69" s="189">
        <f t="shared" si="0"/>
        <v>0.96461751399933215</v>
      </c>
    </row>
    <row r="70" spans="1:8" ht="26.25" customHeight="1" x14ac:dyDescent="0.4">
      <c r="A70" s="499" t="s">
        <v>77</v>
      </c>
      <c r="B70" s="500"/>
      <c r="C70" s="494"/>
      <c r="D70" s="497"/>
      <c r="E70" s="187">
        <v>3</v>
      </c>
      <c r="F70" s="137">
        <v>117174194</v>
      </c>
      <c r="G70" s="195">
        <f>IF(ISBLANK(F70),"-",(F70/$D$50*$D$47*$B$68)*($B$57/$D$68))</f>
        <v>770.24669340972446</v>
      </c>
      <c r="H70" s="189">
        <f t="shared" si="0"/>
        <v>0.96280836676215553</v>
      </c>
    </row>
    <row r="71" spans="1:8" ht="27" customHeight="1" x14ac:dyDescent="0.4">
      <c r="A71" s="501"/>
      <c r="B71" s="502"/>
      <c r="C71" s="495"/>
      <c r="D71" s="498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70</v>
      </c>
      <c r="H72" s="205">
        <f>AVERAGE(H60:H71)</f>
        <v>0.97428272670822536</v>
      </c>
    </row>
    <row r="73" spans="1:8" ht="26.25" customHeight="1" x14ac:dyDescent="0.4">
      <c r="C73" s="202"/>
      <c r="D73" s="202"/>
      <c r="E73" s="202"/>
      <c r="F73" s="203"/>
      <c r="G73" s="206" t="s">
        <v>83</v>
      </c>
      <c r="H73" s="207">
        <f>STDEV(H60:H71)/H72</f>
        <v>6.9556388076248924E-3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105</v>
      </c>
      <c r="B76" s="211" t="s">
        <v>106</v>
      </c>
      <c r="C76" s="480" t="str">
        <f>B20</f>
        <v>each tablets contains sulphamethoxazole 800mg Trimethoprim 160mg.</v>
      </c>
      <c r="D76" s="480"/>
      <c r="E76" s="212" t="s">
        <v>107</v>
      </c>
      <c r="F76" s="212"/>
      <c r="G76" s="213">
        <f>H72</f>
        <v>0.97428272670822536</v>
      </c>
      <c r="H76" s="214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>Sulfamethoxazole</v>
      </c>
      <c r="C79" s="503"/>
    </row>
    <row r="80" spans="1:8" ht="26.25" customHeight="1" x14ac:dyDescent="0.4">
      <c r="A80" s="109" t="s">
        <v>47</v>
      </c>
      <c r="B80" s="503" t="str">
        <f>B27</f>
        <v>NQCL-PRS-S12-2</v>
      </c>
      <c r="C80" s="503"/>
    </row>
    <row r="81" spans="1:12" ht="27" customHeight="1" x14ac:dyDescent="0.4">
      <c r="A81" s="109" t="s">
        <v>6</v>
      </c>
      <c r="B81" s="215">
        <f>B28</f>
        <v>99.58</v>
      </c>
    </row>
    <row r="82" spans="1:12" s="14" customFormat="1" ht="27" customHeight="1" x14ac:dyDescent="0.4">
      <c r="A82" s="109" t="s">
        <v>48</v>
      </c>
      <c r="B82" s="111">
        <v>0</v>
      </c>
      <c r="C82" s="482" t="s">
        <v>49</v>
      </c>
      <c r="D82" s="483"/>
      <c r="E82" s="483"/>
      <c r="F82" s="483"/>
      <c r="G82" s="484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5" t="s">
        <v>110</v>
      </c>
      <c r="D84" s="486"/>
      <c r="E84" s="486"/>
      <c r="F84" s="486"/>
      <c r="G84" s="486"/>
      <c r="H84" s="487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5" t="s">
        <v>111</v>
      </c>
      <c r="D85" s="486"/>
      <c r="E85" s="486"/>
      <c r="F85" s="486"/>
      <c r="G85" s="486"/>
      <c r="H85" s="48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25</v>
      </c>
      <c r="D89" s="216" t="s">
        <v>58</v>
      </c>
      <c r="E89" s="217"/>
      <c r="F89" s="488" t="s">
        <v>59</v>
      </c>
      <c r="G89" s="489"/>
    </row>
    <row r="90" spans="1:12" ht="27" customHeight="1" x14ac:dyDescent="0.4">
      <c r="A90" s="124" t="s">
        <v>60</v>
      </c>
      <c r="B90" s="125">
        <v>15</v>
      </c>
      <c r="C90" s="218" t="s">
        <v>61</v>
      </c>
      <c r="D90" s="127" t="s">
        <v>62</v>
      </c>
      <c r="E90" s="128" t="s">
        <v>63</v>
      </c>
      <c r="F90" s="127" t="s">
        <v>62</v>
      </c>
      <c r="G90" s="219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50</v>
      </c>
      <c r="C91" s="220">
        <v>1</v>
      </c>
      <c r="D91" s="315">
        <v>167705540</v>
      </c>
      <c r="E91" s="133">
        <f>IF(ISBLANK(D91),"-",$D$101/$D$98*D91)</f>
        <v>164465697.33505726</v>
      </c>
      <c r="F91" s="315">
        <v>187178916</v>
      </c>
      <c r="G91" s="134">
        <f>IF(ISBLANK(F91),"-",$D$101/$F$98*F91)</f>
        <v>164021276.79710281</v>
      </c>
      <c r="I91" s="135"/>
    </row>
    <row r="92" spans="1:12" ht="26.25" customHeight="1" x14ac:dyDescent="0.4">
      <c r="A92" s="124" t="s">
        <v>66</v>
      </c>
      <c r="B92" s="125">
        <v>1</v>
      </c>
      <c r="C92" s="203">
        <v>2</v>
      </c>
      <c r="D92" s="320">
        <v>168044501</v>
      </c>
      <c r="E92" s="138">
        <f>IF(ISBLANK(D92),"-",$D$101/$D$98*D92)</f>
        <v>164798110.07010695</v>
      </c>
      <c r="F92" s="320">
        <v>187941669</v>
      </c>
      <c r="G92" s="139">
        <f>IF(ISBLANK(F92),"-",$D$101/$F$98*F92)</f>
        <v>164689662.55130187</v>
      </c>
      <c r="I92" s="490">
        <f>ABS((F96/D96*D95)-F95)/D95</f>
        <v>4.5012059233545025E-4</v>
      </c>
    </row>
    <row r="93" spans="1:12" ht="26.25" customHeight="1" x14ac:dyDescent="0.4">
      <c r="A93" s="124" t="s">
        <v>67</v>
      </c>
      <c r="B93" s="125">
        <v>1</v>
      </c>
      <c r="C93" s="203">
        <v>3</v>
      </c>
      <c r="D93" s="320">
        <v>167911219</v>
      </c>
      <c r="E93" s="138">
        <f>IF(ISBLANK(D93),"-",$D$101/$D$98*D93)</f>
        <v>164667402.89685431</v>
      </c>
      <c r="F93" s="320">
        <v>188320484</v>
      </c>
      <c r="G93" s="139">
        <f>IF(ISBLANK(F93),"-",$D$101/$F$98*F93)</f>
        <v>165021610.83531636</v>
      </c>
      <c r="I93" s="490"/>
    </row>
    <row r="94" spans="1:12" ht="27" customHeight="1" x14ac:dyDescent="0.4">
      <c r="A94" s="124" t="s">
        <v>68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69</v>
      </c>
      <c r="B95" s="125">
        <v>1</v>
      </c>
      <c r="C95" s="223" t="s">
        <v>70</v>
      </c>
      <c r="D95" s="224">
        <f>AVERAGE(D91:D94)</f>
        <v>167887086.66666666</v>
      </c>
      <c r="E95" s="148">
        <f>AVERAGE(E91:E94)</f>
        <v>164643736.7673395</v>
      </c>
      <c r="F95" s="225">
        <f>AVERAGE(F91:F94)</f>
        <v>187813689.66666666</v>
      </c>
      <c r="G95" s="226">
        <f>AVERAGE(G91:G94)</f>
        <v>164577516.727907</v>
      </c>
    </row>
    <row r="96" spans="1:12" ht="26.25" customHeight="1" x14ac:dyDescent="0.4">
      <c r="A96" s="124" t="s">
        <v>71</v>
      </c>
      <c r="B96" s="110">
        <v>1</v>
      </c>
      <c r="C96" s="227" t="s">
        <v>112</v>
      </c>
      <c r="D96" s="228">
        <v>15.36</v>
      </c>
      <c r="E96" s="140"/>
      <c r="F96" s="152">
        <v>17.190000000000001</v>
      </c>
    </row>
    <row r="97" spans="1:10" ht="26.25" customHeight="1" x14ac:dyDescent="0.4">
      <c r="A97" s="124" t="s">
        <v>73</v>
      </c>
      <c r="B97" s="110">
        <v>1</v>
      </c>
      <c r="C97" s="229" t="s">
        <v>113</v>
      </c>
      <c r="D97" s="230">
        <f>D96*$B$87</f>
        <v>15.36</v>
      </c>
      <c r="E97" s="155"/>
      <c r="F97" s="154">
        <f>F96*$B$87</f>
        <v>17.190000000000001</v>
      </c>
    </row>
    <row r="98" spans="1:10" ht="19.5" customHeight="1" x14ac:dyDescent="0.3">
      <c r="A98" s="124" t="s">
        <v>75</v>
      </c>
      <c r="B98" s="231">
        <f>(B97/B96)*(B95/B94)*(B93/B92)*(B91/B90)*B89</f>
        <v>83.333333333333343</v>
      </c>
      <c r="C98" s="229" t="s">
        <v>114</v>
      </c>
      <c r="D98" s="232">
        <f>D97*$B$83/100</f>
        <v>15.295488000000001</v>
      </c>
      <c r="E98" s="158"/>
      <c r="F98" s="157">
        <f>F97*$B$83/100</f>
        <v>17.117802000000001</v>
      </c>
    </row>
    <row r="99" spans="1:10" ht="19.5" customHeight="1" x14ac:dyDescent="0.3">
      <c r="A99" s="476" t="s">
        <v>77</v>
      </c>
      <c r="B99" s="491"/>
      <c r="C99" s="229" t="s">
        <v>115</v>
      </c>
      <c r="D99" s="233">
        <f>D98/$B$98</f>
        <v>0.18354585599999998</v>
      </c>
      <c r="E99" s="158"/>
      <c r="F99" s="161">
        <f>F98/$B$98</f>
        <v>0.20541362399999999</v>
      </c>
      <c r="G99" s="234"/>
      <c r="H99" s="150"/>
    </row>
    <row r="100" spans="1:10" ht="19.5" customHeight="1" x14ac:dyDescent="0.3">
      <c r="A100" s="478"/>
      <c r="B100" s="492"/>
      <c r="C100" s="229" t="s">
        <v>79</v>
      </c>
      <c r="D100" s="235">
        <v>0.18</v>
      </c>
      <c r="F100" s="166"/>
      <c r="G100" s="236"/>
      <c r="H100" s="150"/>
    </row>
    <row r="101" spans="1:10" ht="18.75" x14ac:dyDescent="0.3">
      <c r="C101" s="229" t="s">
        <v>80</v>
      </c>
      <c r="D101" s="230">
        <f>D100*$B$98</f>
        <v>15.000000000000002</v>
      </c>
      <c r="F101" s="166"/>
      <c r="G101" s="234"/>
      <c r="H101" s="150"/>
    </row>
    <row r="102" spans="1:10" ht="19.5" customHeight="1" x14ac:dyDescent="0.3">
      <c r="C102" s="237" t="s">
        <v>81</v>
      </c>
      <c r="D102" s="238">
        <f>D101/B34</f>
        <v>15.000000000000002</v>
      </c>
      <c r="F102" s="170"/>
      <c r="G102" s="234"/>
      <c r="H102" s="150"/>
      <c r="J102" s="239"/>
    </row>
    <row r="103" spans="1:10" ht="18.75" x14ac:dyDescent="0.3">
      <c r="C103" s="240" t="s">
        <v>116</v>
      </c>
      <c r="D103" s="241">
        <f>AVERAGE(E91:E94,G91:G94)</f>
        <v>164610626.74762323</v>
      </c>
      <c r="F103" s="170"/>
      <c r="G103" s="242"/>
      <c r="H103" s="150"/>
      <c r="J103" s="243"/>
    </row>
    <row r="104" spans="1:10" ht="18.75" x14ac:dyDescent="0.3">
      <c r="C104" s="206" t="s">
        <v>83</v>
      </c>
      <c r="D104" s="244">
        <f>STDEV(E91:E94,G91:G94)/D103</f>
        <v>2.0723763219701982E-3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117</v>
      </c>
      <c r="B107" s="123">
        <v>900</v>
      </c>
      <c r="C107" s="246" t="s">
        <v>118</v>
      </c>
      <c r="D107" s="247" t="s">
        <v>62</v>
      </c>
      <c r="E107" s="248" t="s">
        <v>119</v>
      </c>
      <c r="F107" s="249" t="s">
        <v>120</v>
      </c>
    </row>
    <row r="108" spans="1:10" ht="26.25" customHeight="1" x14ac:dyDescent="0.4">
      <c r="A108" s="124" t="s">
        <v>121</v>
      </c>
      <c r="B108" s="125">
        <v>5</v>
      </c>
      <c r="C108" s="250">
        <v>1</v>
      </c>
      <c r="D108" s="251">
        <v>163469372</v>
      </c>
      <c r="E108" s="252">
        <f t="shared" ref="E108:E113" si="1">IF(ISBLANK(D108),"-",D108/$D$103*$D$100*$B$116)</f>
        <v>643.50737949868994</v>
      </c>
      <c r="F108" s="253">
        <f t="shared" ref="F108:F113" si="2">IF(ISBLANK(D108), "-", E108/$B$56)</f>
        <v>0.80438422437336243</v>
      </c>
    </row>
    <row r="109" spans="1:10" ht="26.25" customHeight="1" x14ac:dyDescent="0.4">
      <c r="A109" s="124" t="s">
        <v>94</v>
      </c>
      <c r="B109" s="125">
        <v>20</v>
      </c>
      <c r="C109" s="250">
        <v>2</v>
      </c>
      <c r="D109" s="251">
        <v>160763428</v>
      </c>
      <c r="E109" s="254">
        <f t="shared" si="1"/>
        <v>632.85526215581422</v>
      </c>
      <c r="F109" s="255">
        <f t="shared" si="2"/>
        <v>0.79106907769476775</v>
      </c>
    </row>
    <row r="110" spans="1:10" ht="26.25" customHeight="1" x14ac:dyDescent="0.4">
      <c r="A110" s="124" t="s">
        <v>95</v>
      </c>
      <c r="B110" s="125">
        <v>1</v>
      </c>
      <c r="C110" s="250">
        <v>3</v>
      </c>
      <c r="D110" s="251">
        <v>165666864</v>
      </c>
      <c r="E110" s="254">
        <f>IF(ISBLANK(D110),"-",D110/$D$103*$D$100*$B$116)</f>
        <v>652.15794382819229</v>
      </c>
      <c r="F110" s="255">
        <f t="shared" si="2"/>
        <v>0.81519742978524035</v>
      </c>
    </row>
    <row r="111" spans="1:10" ht="26.25" customHeight="1" x14ac:dyDescent="0.4">
      <c r="A111" s="124" t="s">
        <v>96</v>
      </c>
      <c r="B111" s="125">
        <v>1</v>
      </c>
      <c r="C111" s="250">
        <v>4</v>
      </c>
      <c r="D111" s="251">
        <v>161657894</v>
      </c>
      <c r="E111" s="254">
        <f t="shared" si="1"/>
        <v>636.3763833583273</v>
      </c>
      <c r="F111" s="255">
        <f t="shared" si="2"/>
        <v>0.79547047919790914</v>
      </c>
    </row>
    <row r="112" spans="1:10" ht="26.25" customHeight="1" x14ac:dyDescent="0.4">
      <c r="A112" s="124" t="s">
        <v>97</v>
      </c>
      <c r="B112" s="125">
        <v>1</v>
      </c>
      <c r="C112" s="250">
        <v>5</v>
      </c>
      <c r="D112" s="251">
        <v>164772810</v>
      </c>
      <c r="E112" s="254">
        <f t="shared" si="1"/>
        <v>648.63844448937834</v>
      </c>
      <c r="F112" s="255">
        <f t="shared" si="2"/>
        <v>0.81079805561172291</v>
      </c>
    </row>
    <row r="113" spans="1:10" ht="26.25" customHeight="1" x14ac:dyDescent="0.4">
      <c r="A113" s="124" t="s">
        <v>99</v>
      </c>
      <c r="B113" s="125">
        <v>1</v>
      </c>
      <c r="C113" s="256">
        <v>6</v>
      </c>
      <c r="D113" s="257">
        <v>166236912</v>
      </c>
      <c r="E113" s="258">
        <f t="shared" si="1"/>
        <v>654.40197333769856</v>
      </c>
      <c r="F113" s="259">
        <f t="shared" si="2"/>
        <v>0.81800246667212317</v>
      </c>
    </row>
    <row r="114" spans="1:10" ht="26.25" customHeight="1" x14ac:dyDescent="0.4">
      <c r="A114" s="124" t="s">
        <v>100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101</v>
      </c>
      <c r="B115" s="125">
        <v>1</v>
      </c>
      <c r="C115" s="250"/>
      <c r="D115" s="261"/>
      <c r="E115" s="262" t="s">
        <v>70</v>
      </c>
      <c r="F115" s="263">
        <f>AVERAGE(F108:F113)</f>
        <v>0.80582028888918755</v>
      </c>
    </row>
    <row r="116" spans="1:10" ht="27" customHeight="1" x14ac:dyDescent="0.4">
      <c r="A116" s="124" t="s">
        <v>102</v>
      </c>
      <c r="B116" s="156">
        <f>(B115/B114)*(B113/B112)*(B111/B110)*(B109/B108)*B107</f>
        <v>3600</v>
      </c>
      <c r="C116" s="264"/>
      <c r="D116" s="265"/>
      <c r="E116" s="223" t="s">
        <v>83</v>
      </c>
      <c r="F116" s="266">
        <f>STDEV(F108:F113)/F115</f>
        <v>1.3456314077745703E-2</v>
      </c>
      <c r="I116" s="98"/>
    </row>
    <row r="117" spans="1:10" ht="27" customHeight="1" x14ac:dyDescent="0.4">
      <c r="A117" s="476" t="s">
        <v>77</v>
      </c>
      <c r="B117" s="477"/>
      <c r="C117" s="267"/>
      <c r="D117" s="268"/>
      <c r="E117" s="269" t="s">
        <v>20</v>
      </c>
      <c r="F117" s="270">
        <f>COUNT(F108:F113)</f>
        <v>6</v>
      </c>
      <c r="I117" s="98"/>
      <c r="J117" s="243"/>
    </row>
    <row r="118" spans="1:10" ht="19.5" customHeight="1" x14ac:dyDescent="0.3">
      <c r="A118" s="478"/>
      <c r="B118" s="479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105</v>
      </c>
      <c r="B120" s="211" t="s">
        <v>122</v>
      </c>
      <c r="C120" s="480" t="str">
        <f>B20</f>
        <v>each tablets contains sulphamethoxazole 800mg Trimethoprim 160mg.</v>
      </c>
      <c r="D120" s="480"/>
      <c r="E120" s="212" t="s">
        <v>123</v>
      </c>
      <c r="F120" s="212"/>
      <c r="G120" s="213">
        <f>F115</f>
        <v>0.80582028888918755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481" t="s">
        <v>26</v>
      </c>
      <c r="C122" s="481"/>
      <c r="E122" s="218" t="s">
        <v>27</v>
      </c>
      <c r="F122" s="273"/>
      <c r="G122" s="481" t="s">
        <v>28</v>
      </c>
      <c r="H122" s="481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3" orientation="portrait" r:id="rId1"/>
  <rowBreaks count="1" manualBreakCount="1">
    <brk id="12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82" zoomScale="60" zoomScaleNormal="60" workbookViewId="0">
      <selection activeCell="E104" sqref="E10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281"/>
    </row>
    <row r="16" spans="1:8" ht="19.5" customHeight="1" x14ac:dyDescent="0.3">
      <c r="A16" s="508" t="s">
        <v>31</v>
      </c>
      <c r="B16" s="509"/>
      <c r="C16" s="509"/>
      <c r="D16" s="509"/>
      <c r="E16" s="509"/>
      <c r="F16" s="509"/>
      <c r="G16" s="509"/>
      <c r="H16" s="510"/>
    </row>
    <row r="17" spans="1:14" ht="20.25" customHeight="1" x14ac:dyDescent="0.25">
      <c r="A17" s="511" t="s">
        <v>45</v>
      </c>
      <c r="B17" s="511"/>
      <c r="C17" s="511"/>
      <c r="D17" s="511"/>
      <c r="E17" s="511"/>
      <c r="F17" s="511"/>
      <c r="G17" s="511"/>
      <c r="H17" s="511"/>
    </row>
    <row r="18" spans="1:14" ht="26.25" customHeight="1" x14ac:dyDescent="0.4">
      <c r="A18" s="283" t="s">
        <v>33</v>
      </c>
      <c r="B18" s="507" t="s">
        <v>5</v>
      </c>
      <c r="C18" s="507"/>
      <c r="D18" s="463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285">
        <v>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512" t="s">
        <v>9</v>
      </c>
      <c r="C20" s="512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512" t="s">
        <v>11</v>
      </c>
      <c r="C21" s="512"/>
      <c r="D21" s="512"/>
      <c r="E21" s="512"/>
      <c r="F21" s="512"/>
      <c r="G21" s="512"/>
      <c r="H21" s="512"/>
      <c r="I21" s="287"/>
    </row>
    <row r="22" spans="1:14" ht="26.25" customHeight="1" x14ac:dyDescent="0.4">
      <c r="A22" s="283" t="s">
        <v>37</v>
      </c>
      <c r="B22" s="288" t="s">
        <v>124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507" t="s">
        <v>125</v>
      </c>
      <c r="C26" s="507"/>
    </row>
    <row r="27" spans="1:14" ht="26.25" customHeight="1" x14ac:dyDescent="0.4">
      <c r="A27" s="292" t="s">
        <v>47</v>
      </c>
      <c r="B27" s="505" t="s">
        <v>126</v>
      </c>
      <c r="C27" s="505"/>
    </row>
    <row r="28" spans="1:14" ht="27" customHeight="1" x14ac:dyDescent="0.4">
      <c r="A28" s="292" t="s">
        <v>6</v>
      </c>
      <c r="B28" s="293">
        <v>99.66</v>
      </c>
    </row>
    <row r="29" spans="1:14" s="14" customFormat="1" ht="27" customHeight="1" x14ac:dyDescent="0.4">
      <c r="A29" s="292" t="s">
        <v>48</v>
      </c>
      <c r="B29" s="294">
        <v>0</v>
      </c>
      <c r="C29" s="482" t="s">
        <v>49</v>
      </c>
      <c r="D29" s="483"/>
      <c r="E29" s="483"/>
      <c r="F29" s="483"/>
      <c r="G29" s="484"/>
      <c r="I29" s="295"/>
      <c r="J29" s="295"/>
      <c r="K29" s="295"/>
      <c r="L29" s="295"/>
    </row>
    <row r="30" spans="1:14" s="14" customFormat="1" ht="19.5" customHeight="1" x14ac:dyDescent="0.3">
      <c r="A30" s="292" t="s">
        <v>50</v>
      </c>
      <c r="B30" s="296">
        <f>B28-B29</f>
        <v>99.66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51</v>
      </c>
      <c r="B31" s="299">
        <v>1</v>
      </c>
      <c r="C31" s="485" t="s">
        <v>52</v>
      </c>
      <c r="D31" s="486"/>
      <c r="E31" s="486"/>
      <c r="F31" s="486"/>
      <c r="G31" s="486"/>
      <c r="H31" s="487"/>
      <c r="I31" s="295"/>
      <c r="J31" s="295"/>
      <c r="K31" s="295"/>
      <c r="L31" s="295"/>
    </row>
    <row r="32" spans="1:14" s="14" customFormat="1" ht="27" customHeight="1" x14ac:dyDescent="0.4">
      <c r="A32" s="292" t="s">
        <v>53</v>
      </c>
      <c r="B32" s="299">
        <v>1</v>
      </c>
      <c r="C32" s="485" t="s">
        <v>54</v>
      </c>
      <c r="D32" s="486"/>
      <c r="E32" s="486"/>
      <c r="F32" s="486"/>
      <c r="G32" s="486"/>
      <c r="H32" s="487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55</v>
      </c>
      <c r="B34" s="304">
        <f>B31/B32</f>
        <v>1</v>
      </c>
      <c r="C34" s="282" t="s">
        <v>56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57</v>
      </c>
      <c r="B36" s="306">
        <v>50</v>
      </c>
      <c r="C36" s="282"/>
      <c r="D36" s="488" t="s">
        <v>58</v>
      </c>
      <c r="E36" s="506"/>
      <c r="F36" s="488" t="s">
        <v>59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60</v>
      </c>
      <c r="B37" s="308">
        <v>2</v>
      </c>
      <c r="C37" s="309" t="s">
        <v>61</v>
      </c>
      <c r="D37" s="310" t="s">
        <v>62</v>
      </c>
      <c r="E37" s="311" t="s">
        <v>63</v>
      </c>
      <c r="F37" s="310" t="s">
        <v>62</v>
      </c>
      <c r="G37" s="312" t="s">
        <v>63</v>
      </c>
      <c r="I37" s="313" t="s">
        <v>64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65</v>
      </c>
      <c r="B38" s="308">
        <v>20</v>
      </c>
      <c r="C38" s="314">
        <v>1</v>
      </c>
      <c r="D38" s="315">
        <v>10164667</v>
      </c>
      <c r="E38" s="316">
        <f>IF(ISBLANK(D38),"-",$D$48/$D$45*D38)</f>
        <v>9999357.6198289879</v>
      </c>
      <c r="F38" s="315">
        <v>9493275</v>
      </c>
      <c r="G38" s="317">
        <f>IF(ISBLANK(F38),"-",$D$48/$F$45*F38)</f>
        <v>9922564.8454746157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66</v>
      </c>
      <c r="B39" s="308">
        <v>1</v>
      </c>
      <c r="C39" s="319">
        <v>2</v>
      </c>
      <c r="D39" s="320">
        <v>10178037</v>
      </c>
      <c r="E39" s="321">
        <f>IF(ISBLANK(D39),"-",$D$48/$D$45*D39)</f>
        <v>10012510.181676524</v>
      </c>
      <c r="F39" s="320">
        <v>9512842</v>
      </c>
      <c r="G39" s="322">
        <f>IF(ISBLANK(F39),"-",$D$48/$F$45*F39)</f>
        <v>9943016.6733560786</v>
      </c>
      <c r="I39" s="490">
        <f>ABS((F43/D43*D42)-F42)/D42</f>
        <v>6.6695056026253169E-3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67</v>
      </c>
      <c r="B40" s="308">
        <v>1</v>
      </c>
      <c r="C40" s="319">
        <v>3</v>
      </c>
      <c r="D40" s="320">
        <v>10162097</v>
      </c>
      <c r="E40" s="321">
        <f>IF(ISBLANK(D40),"-",$D$48/$D$45*D40)</f>
        <v>9996829.4160931483</v>
      </c>
      <c r="F40" s="320">
        <v>9500832</v>
      </c>
      <c r="G40" s="322">
        <f>IF(ISBLANK(F40),"-",$D$48/$F$45*F40)</f>
        <v>9930463.5761589427</v>
      </c>
      <c r="I40" s="490"/>
      <c r="L40" s="300"/>
      <c r="M40" s="300"/>
      <c r="N40" s="323"/>
    </row>
    <row r="41" spans="1:14" ht="27" customHeight="1" x14ac:dyDescent="0.4">
      <c r="A41" s="307" t="s">
        <v>68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69</v>
      </c>
      <c r="B42" s="308">
        <v>1</v>
      </c>
      <c r="C42" s="329" t="s">
        <v>70</v>
      </c>
      <c r="D42" s="330">
        <f>AVERAGE(D38:D41)</f>
        <v>10168267</v>
      </c>
      <c r="E42" s="331">
        <f>AVERAGE(E38:E41)</f>
        <v>10002899.072532887</v>
      </c>
      <c r="F42" s="330">
        <f>AVERAGE(F38:F41)</f>
        <v>9502316.333333334</v>
      </c>
      <c r="G42" s="332">
        <f>AVERAGE(G38:G41)</f>
        <v>9932015.0316632111</v>
      </c>
      <c r="H42" s="333"/>
    </row>
    <row r="43" spans="1:14" ht="26.25" customHeight="1" x14ac:dyDescent="0.4">
      <c r="A43" s="307" t="s">
        <v>71</v>
      </c>
      <c r="B43" s="308">
        <v>1</v>
      </c>
      <c r="C43" s="334" t="s">
        <v>72</v>
      </c>
      <c r="D43" s="335">
        <v>16.32</v>
      </c>
      <c r="E43" s="323"/>
      <c r="F43" s="335">
        <v>15.36</v>
      </c>
      <c r="H43" s="333"/>
    </row>
    <row r="44" spans="1:14" ht="26.25" customHeight="1" x14ac:dyDescent="0.4">
      <c r="A44" s="307" t="s">
        <v>73</v>
      </c>
      <c r="B44" s="308">
        <v>1</v>
      </c>
      <c r="C44" s="336" t="s">
        <v>74</v>
      </c>
      <c r="D44" s="337">
        <f>D43*$B$34</f>
        <v>16.32</v>
      </c>
      <c r="E44" s="338"/>
      <c r="F44" s="337">
        <f>F43*$B$34</f>
        <v>15.36</v>
      </c>
      <c r="H44" s="333"/>
    </row>
    <row r="45" spans="1:14" ht="19.5" customHeight="1" x14ac:dyDescent="0.3">
      <c r="A45" s="307" t="s">
        <v>75</v>
      </c>
      <c r="B45" s="339">
        <f>(B44/B43)*(B42/B41)*(B40/B39)*(B38/B37)*B36</f>
        <v>500</v>
      </c>
      <c r="C45" s="336" t="s">
        <v>76</v>
      </c>
      <c r="D45" s="340">
        <f>D44*$B$30/100</f>
        <v>16.264512</v>
      </c>
      <c r="E45" s="341"/>
      <c r="F45" s="340">
        <f>F44*$B$30/100</f>
        <v>15.307775999999999</v>
      </c>
      <c r="H45" s="333"/>
    </row>
    <row r="46" spans="1:14" ht="19.5" customHeight="1" x14ac:dyDescent="0.3">
      <c r="A46" s="476" t="s">
        <v>77</v>
      </c>
      <c r="B46" s="477"/>
      <c r="C46" s="336" t="s">
        <v>78</v>
      </c>
      <c r="D46" s="342">
        <f>D45/$B$45</f>
        <v>3.2529023999999997E-2</v>
      </c>
      <c r="E46" s="343"/>
      <c r="F46" s="344">
        <f>F45/$B$45</f>
        <v>3.0615551999999997E-2</v>
      </c>
      <c r="H46" s="333"/>
    </row>
    <row r="47" spans="1:14" ht="27" customHeight="1" x14ac:dyDescent="0.4">
      <c r="A47" s="478"/>
      <c r="B47" s="479"/>
      <c r="C47" s="345" t="s">
        <v>79</v>
      </c>
      <c r="D47" s="346">
        <v>3.2000000000000001E-2</v>
      </c>
      <c r="E47" s="347"/>
      <c r="F47" s="343"/>
      <c r="H47" s="333"/>
    </row>
    <row r="48" spans="1:14" ht="18.75" x14ac:dyDescent="0.3">
      <c r="C48" s="348" t="s">
        <v>80</v>
      </c>
      <c r="D48" s="340">
        <f>D47*$B$45</f>
        <v>16</v>
      </c>
      <c r="F48" s="349"/>
      <c r="H48" s="333"/>
    </row>
    <row r="49" spans="1:12" ht="19.5" customHeight="1" x14ac:dyDescent="0.3">
      <c r="C49" s="350" t="s">
        <v>81</v>
      </c>
      <c r="D49" s="351">
        <f>D48/B34</f>
        <v>16</v>
      </c>
      <c r="F49" s="349"/>
      <c r="H49" s="333"/>
    </row>
    <row r="50" spans="1:12" ht="18.75" x14ac:dyDescent="0.3">
      <c r="C50" s="305" t="s">
        <v>82</v>
      </c>
      <c r="D50" s="352">
        <f>AVERAGE(E38:E41,G38:G41)</f>
        <v>9967457.0520980489</v>
      </c>
      <c r="F50" s="353"/>
      <c r="H50" s="333"/>
    </row>
    <row r="51" spans="1:12" ht="18.75" x14ac:dyDescent="0.3">
      <c r="C51" s="307" t="s">
        <v>83</v>
      </c>
      <c r="D51" s="354">
        <f>STDEV(E38:E41,G38:G41)/D50</f>
        <v>3.985709291027999E-3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84</v>
      </c>
    </row>
    <row r="55" spans="1:12" ht="18.75" x14ac:dyDescent="0.3">
      <c r="A55" s="282" t="s">
        <v>85</v>
      </c>
      <c r="B55" s="359" t="str">
        <f>B21</f>
        <v>Sulphamethoxazole 800mg Trimethoprim 160 per tablets</v>
      </c>
    </row>
    <row r="56" spans="1:12" ht="26.25" customHeight="1" x14ac:dyDescent="0.4">
      <c r="A56" s="360" t="s">
        <v>86</v>
      </c>
      <c r="B56" s="361">
        <v>160</v>
      </c>
      <c r="C56" s="282" t="str">
        <f>B20</f>
        <v>each tablets contains sulphamethoxazole 800mg Trimethoprim 160mg.</v>
      </c>
      <c r="H56" s="362"/>
    </row>
    <row r="57" spans="1:12" ht="18.75" x14ac:dyDescent="0.3">
      <c r="A57" s="359" t="s">
        <v>87</v>
      </c>
      <c r="B57" s="363">
        <f>Uniformity!C46</f>
        <v>1039.3345000000002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88</v>
      </c>
      <c r="B59" s="306">
        <v>100</v>
      </c>
      <c r="C59" s="282"/>
      <c r="D59" s="364" t="s">
        <v>89</v>
      </c>
      <c r="E59" s="365" t="s">
        <v>61</v>
      </c>
      <c r="F59" s="365" t="s">
        <v>62</v>
      </c>
      <c r="G59" s="365" t="s">
        <v>90</v>
      </c>
      <c r="H59" s="309" t="s">
        <v>91</v>
      </c>
      <c r="L59" s="295"/>
    </row>
    <row r="60" spans="1:12" s="14" customFormat="1" ht="26.25" customHeight="1" x14ac:dyDescent="0.4">
      <c r="A60" s="307" t="s">
        <v>92</v>
      </c>
      <c r="B60" s="308">
        <v>2</v>
      </c>
      <c r="C60" s="493" t="s">
        <v>93</v>
      </c>
      <c r="D60" s="496">
        <v>518.08000000000004</v>
      </c>
      <c r="E60" s="366">
        <v>1</v>
      </c>
      <c r="F60" s="367">
        <v>9829982</v>
      </c>
      <c r="G60" s="368">
        <f>IF(ISBLANK(F60),"-",(F60/$D$50*$D$47*$B$68)*($B$57/$D$60))</f>
        <v>158.27665125619106</v>
      </c>
      <c r="H60" s="369">
        <f t="shared" ref="H60:H71" si="0">IF(ISBLANK(F60),"-",G60/$B$56)</f>
        <v>0.98922907035119412</v>
      </c>
      <c r="L60" s="295"/>
    </row>
    <row r="61" spans="1:12" s="14" customFormat="1" ht="26.25" customHeight="1" x14ac:dyDescent="0.4">
      <c r="A61" s="307" t="s">
        <v>94</v>
      </c>
      <c r="B61" s="308">
        <v>50</v>
      </c>
      <c r="C61" s="494"/>
      <c r="D61" s="497"/>
      <c r="E61" s="370">
        <v>2</v>
      </c>
      <c r="F61" s="320">
        <v>9819697</v>
      </c>
      <c r="G61" s="371">
        <f>IF(ISBLANK(F61),"-",(F61/$D$50*$D$47*$B$68)*($B$57/$D$60))</f>
        <v>158.11104816982021</v>
      </c>
      <c r="H61" s="372">
        <f t="shared" si="0"/>
        <v>0.98819405106137626</v>
      </c>
      <c r="L61" s="295"/>
    </row>
    <row r="62" spans="1:12" s="14" customFormat="1" ht="26.25" customHeight="1" x14ac:dyDescent="0.4">
      <c r="A62" s="307" t="s">
        <v>95</v>
      </c>
      <c r="B62" s="308">
        <v>1</v>
      </c>
      <c r="C62" s="494"/>
      <c r="D62" s="497"/>
      <c r="E62" s="370">
        <v>3</v>
      </c>
      <c r="F62" s="373">
        <v>10056343</v>
      </c>
      <c r="G62" s="371">
        <f>IF(ISBLANK(F62),"-",(F62/$D$50*$D$47*$B$68)*($B$57/$D$60))</f>
        <v>161.92138438540763</v>
      </c>
      <c r="H62" s="372">
        <f t="shared" si="0"/>
        <v>1.0120086524087977</v>
      </c>
      <c r="L62" s="295"/>
    </row>
    <row r="63" spans="1:12" ht="27" customHeight="1" x14ac:dyDescent="0.4">
      <c r="A63" s="307" t="s">
        <v>96</v>
      </c>
      <c r="B63" s="308">
        <v>1</v>
      </c>
      <c r="C63" s="504"/>
      <c r="D63" s="498"/>
      <c r="E63" s="374">
        <v>4</v>
      </c>
      <c r="F63" s="375"/>
      <c r="G63" s="371" t="str">
        <f>IF(ISBLANK(F63),"-",(F63/$D$50*$D$47*$B$68)*($B$57/$D$60))</f>
        <v>-</v>
      </c>
      <c r="H63" s="372" t="str">
        <f t="shared" si="0"/>
        <v>-</v>
      </c>
    </row>
    <row r="64" spans="1:12" ht="26.25" customHeight="1" x14ac:dyDescent="0.4">
      <c r="A64" s="307" t="s">
        <v>97</v>
      </c>
      <c r="B64" s="308">
        <v>1</v>
      </c>
      <c r="C64" s="493" t="s">
        <v>98</v>
      </c>
      <c r="D64" s="496">
        <v>520.95000000000005</v>
      </c>
      <c r="E64" s="366">
        <v>1</v>
      </c>
      <c r="F64" s="367">
        <v>9878107</v>
      </c>
      <c r="G64" s="376">
        <f>IF(ISBLANK(F64),"-",(F64/$D$50*$D$47*$B$68)*($B$57/$D$64))</f>
        <v>158.17529072399748</v>
      </c>
      <c r="H64" s="377">
        <f t="shared" si="0"/>
        <v>0.98859556702498419</v>
      </c>
    </row>
    <row r="65" spans="1:8" ht="26.25" customHeight="1" x14ac:dyDescent="0.4">
      <c r="A65" s="307" t="s">
        <v>99</v>
      </c>
      <c r="B65" s="308">
        <v>1</v>
      </c>
      <c r="C65" s="494"/>
      <c r="D65" s="497"/>
      <c r="E65" s="370">
        <v>2</v>
      </c>
      <c r="F65" s="320">
        <v>9845608</v>
      </c>
      <c r="G65" s="378">
        <f>IF(ISBLANK(F65),"-",(F65/$D$50*$D$47*$B$68)*($B$57/$D$64))</f>
        <v>157.65489356963997</v>
      </c>
      <c r="H65" s="379">
        <f t="shared" si="0"/>
        <v>0.98534308481024979</v>
      </c>
    </row>
    <row r="66" spans="1:8" ht="26.25" customHeight="1" x14ac:dyDescent="0.4">
      <c r="A66" s="307" t="s">
        <v>100</v>
      </c>
      <c r="B66" s="308">
        <v>1</v>
      </c>
      <c r="C66" s="494"/>
      <c r="D66" s="497"/>
      <c r="E66" s="370">
        <v>3</v>
      </c>
      <c r="F66" s="320">
        <v>9981131</v>
      </c>
      <c r="G66" s="378">
        <f>IF(ISBLANK(F66),"-",(F66/$D$50*$D$47*$B$68)*($B$57/$D$64))</f>
        <v>159.82498445089769</v>
      </c>
      <c r="H66" s="379">
        <f t="shared" si="0"/>
        <v>0.99890615281811057</v>
      </c>
    </row>
    <row r="67" spans="1:8" ht="27" customHeight="1" x14ac:dyDescent="0.4">
      <c r="A67" s="307" t="s">
        <v>101</v>
      </c>
      <c r="B67" s="308">
        <v>1</v>
      </c>
      <c r="C67" s="504"/>
      <c r="D67" s="498"/>
      <c r="E67" s="374">
        <v>4</v>
      </c>
      <c r="F67" s="375"/>
      <c r="G67" s="380" t="str">
        <f>IF(ISBLANK(F67),"-",(F67/$D$50*$D$47*$B$68)*($B$57/$D$64))</f>
        <v>-</v>
      </c>
      <c r="H67" s="381" t="str">
        <f t="shared" si="0"/>
        <v>-</v>
      </c>
    </row>
    <row r="68" spans="1:8" ht="26.25" customHeight="1" x14ac:dyDescent="0.4">
      <c r="A68" s="307" t="s">
        <v>102</v>
      </c>
      <c r="B68" s="382">
        <f>(B67/B66)*(B65/B64)*(B63/B62)*(B61/B60)*B59</f>
        <v>2500</v>
      </c>
      <c r="C68" s="493" t="s">
        <v>103</v>
      </c>
      <c r="D68" s="496">
        <v>519.79</v>
      </c>
      <c r="E68" s="366">
        <v>1</v>
      </c>
      <c r="F68" s="367">
        <v>9858887</v>
      </c>
      <c r="G68" s="376">
        <f>IF(ISBLANK(F68),"-",(F68/$D$50*$D$47*$B$68)*($B$57/$D$68))</f>
        <v>158.21983468209353</v>
      </c>
      <c r="H68" s="372">
        <f t="shared" si="0"/>
        <v>0.98887396676308459</v>
      </c>
    </row>
    <row r="69" spans="1:8" ht="27" customHeight="1" x14ac:dyDescent="0.4">
      <c r="A69" s="355" t="s">
        <v>104</v>
      </c>
      <c r="B69" s="383">
        <f>(D47*B68)/B56*B57</f>
        <v>519.66725000000008</v>
      </c>
      <c r="C69" s="494"/>
      <c r="D69" s="497"/>
      <c r="E69" s="370">
        <v>2</v>
      </c>
      <c r="F69" s="320">
        <v>9752012</v>
      </c>
      <c r="G69" s="378">
        <f>IF(ISBLANK(F69),"-",(F69/$D$50*$D$47*$B$68)*($B$57/$D$68))</f>
        <v>156.50465680941394</v>
      </c>
      <c r="H69" s="372">
        <f t="shared" si="0"/>
        <v>0.97815410505883715</v>
      </c>
    </row>
    <row r="70" spans="1:8" ht="26.25" customHeight="1" x14ac:dyDescent="0.4">
      <c r="A70" s="499" t="s">
        <v>77</v>
      </c>
      <c r="B70" s="500"/>
      <c r="C70" s="494"/>
      <c r="D70" s="497"/>
      <c r="E70" s="370">
        <v>3</v>
      </c>
      <c r="F70" s="320">
        <v>9733174</v>
      </c>
      <c r="G70" s="378">
        <f>IF(ISBLANK(F70),"-",(F70/$D$50*$D$47*$B$68)*($B$57/$D$68))</f>
        <v>156.20233614728022</v>
      </c>
      <c r="H70" s="372">
        <f t="shared" si="0"/>
        <v>0.97626460092050138</v>
      </c>
    </row>
    <row r="71" spans="1:8" ht="27" customHeight="1" x14ac:dyDescent="0.4">
      <c r="A71" s="501"/>
      <c r="B71" s="502"/>
      <c r="C71" s="495"/>
      <c r="D71" s="498"/>
      <c r="E71" s="374">
        <v>4</v>
      </c>
      <c r="F71" s="375"/>
      <c r="G71" s="380" t="str">
        <f>IF(ISBLANK(F71),"-",(F71/$D$50*$D$47*$B$68)*($B$57/$D$68))</f>
        <v>-</v>
      </c>
      <c r="H71" s="384" t="str">
        <f t="shared" si="0"/>
        <v>-</v>
      </c>
    </row>
    <row r="72" spans="1:8" ht="26.25" customHeight="1" x14ac:dyDescent="0.4">
      <c r="A72" s="385"/>
      <c r="B72" s="385"/>
      <c r="C72" s="385"/>
      <c r="D72" s="385"/>
      <c r="E72" s="385"/>
      <c r="F72" s="386"/>
      <c r="G72" s="387" t="s">
        <v>70</v>
      </c>
      <c r="H72" s="388">
        <f>AVERAGE(H60:H71)</f>
        <v>0.9895076945796818</v>
      </c>
    </row>
    <row r="73" spans="1:8" ht="26.25" customHeight="1" x14ac:dyDescent="0.4">
      <c r="C73" s="385"/>
      <c r="D73" s="385"/>
      <c r="E73" s="385"/>
      <c r="F73" s="386"/>
      <c r="G73" s="389" t="s">
        <v>83</v>
      </c>
      <c r="H73" s="390">
        <f>STDEV(H60:H71)/H72</f>
        <v>1.083332429636504E-2</v>
      </c>
    </row>
    <row r="74" spans="1:8" ht="27" customHeight="1" x14ac:dyDescent="0.4">
      <c r="A74" s="385"/>
      <c r="B74" s="385"/>
      <c r="C74" s="386"/>
      <c r="D74" s="386"/>
      <c r="E74" s="391"/>
      <c r="F74" s="386"/>
      <c r="G74" s="392" t="s">
        <v>20</v>
      </c>
      <c r="H74" s="393">
        <f>COUNT(H60:H71)</f>
        <v>9</v>
      </c>
    </row>
    <row r="76" spans="1:8" ht="26.25" customHeight="1" x14ac:dyDescent="0.4">
      <c r="A76" s="291" t="s">
        <v>105</v>
      </c>
      <c r="B76" s="394" t="s">
        <v>106</v>
      </c>
      <c r="C76" s="480" t="str">
        <f>B20</f>
        <v>each tablets contains sulphamethoxazole 800mg Trimethoprim 160mg.</v>
      </c>
      <c r="D76" s="480"/>
      <c r="E76" s="395" t="s">
        <v>107</v>
      </c>
      <c r="F76" s="395"/>
      <c r="G76" s="396">
        <f>H72</f>
        <v>0.9895076945796818</v>
      </c>
      <c r="H76" s="397"/>
    </row>
    <row r="77" spans="1:8" ht="18.75" x14ac:dyDescent="0.3">
      <c r="A77" s="290" t="s">
        <v>108</v>
      </c>
      <c r="B77" s="290" t="s">
        <v>109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503" t="str">
        <f>B26</f>
        <v>Trimethoprim</v>
      </c>
      <c r="C79" s="503"/>
    </row>
    <row r="80" spans="1:8" ht="26.25" customHeight="1" x14ac:dyDescent="0.4">
      <c r="A80" s="292" t="s">
        <v>47</v>
      </c>
      <c r="B80" s="503" t="str">
        <f>B27</f>
        <v>T7-2</v>
      </c>
      <c r="C80" s="503"/>
    </row>
    <row r="81" spans="1:12" ht="27" customHeight="1" x14ac:dyDescent="0.4">
      <c r="A81" s="292" t="s">
        <v>6</v>
      </c>
      <c r="B81" s="398">
        <f>B28</f>
        <v>99.66</v>
      </c>
    </row>
    <row r="82" spans="1:12" s="14" customFormat="1" ht="27" customHeight="1" x14ac:dyDescent="0.4">
      <c r="A82" s="292" t="s">
        <v>48</v>
      </c>
      <c r="B82" s="294">
        <v>0</v>
      </c>
      <c r="C82" s="482" t="s">
        <v>49</v>
      </c>
      <c r="D82" s="483"/>
      <c r="E82" s="483"/>
      <c r="F82" s="483"/>
      <c r="G82" s="484"/>
      <c r="I82" s="295"/>
      <c r="J82" s="295"/>
      <c r="K82" s="295"/>
      <c r="L82" s="295"/>
    </row>
    <row r="83" spans="1:12" s="14" customFormat="1" ht="19.5" customHeight="1" x14ac:dyDescent="0.3">
      <c r="A83" s="292" t="s">
        <v>50</v>
      </c>
      <c r="B83" s="296">
        <f>B81-B82</f>
        <v>99.66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51</v>
      </c>
      <c r="B84" s="299">
        <v>1</v>
      </c>
      <c r="C84" s="485" t="s">
        <v>110</v>
      </c>
      <c r="D84" s="486"/>
      <c r="E84" s="486"/>
      <c r="F84" s="486"/>
      <c r="G84" s="486"/>
      <c r="H84" s="487"/>
      <c r="I84" s="295"/>
      <c r="J84" s="295"/>
      <c r="K84" s="295"/>
      <c r="L84" s="295"/>
    </row>
    <row r="85" spans="1:12" s="14" customFormat="1" ht="27" customHeight="1" x14ac:dyDescent="0.4">
      <c r="A85" s="292" t="s">
        <v>53</v>
      </c>
      <c r="B85" s="299">
        <v>1</v>
      </c>
      <c r="C85" s="485" t="s">
        <v>111</v>
      </c>
      <c r="D85" s="486"/>
      <c r="E85" s="486"/>
      <c r="F85" s="486"/>
      <c r="G85" s="486"/>
      <c r="H85" s="487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55</v>
      </c>
      <c r="B87" s="304">
        <f>B84/B85</f>
        <v>1</v>
      </c>
      <c r="C87" s="282" t="s">
        <v>56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57</v>
      </c>
      <c r="B89" s="306">
        <v>50</v>
      </c>
      <c r="D89" s="399" t="s">
        <v>58</v>
      </c>
      <c r="E89" s="400"/>
      <c r="F89" s="488" t="s">
        <v>59</v>
      </c>
      <c r="G89" s="489"/>
    </row>
    <row r="90" spans="1:12" ht="27" customHeight="1" x14ac:dyDescent="0.4">
      <c r="A90" s="307" t="s">
        <v>60</v>
      </c>
      <c r="B90" s="308">
        <v>5</v>
      </c>
      <c r="C90" s="401" t="s">
        <v>61</v>
      </c>
      <c r="D90" s="310" t="s">
        <v>62</v>
      </c>
      <c r="E90" s="311" t="s">
        <v>63</v>
      </c>
      <c r="F90" s="310" t="s">
        <v>62</v>
      </c>
      <c r="G90" s="402" t="s">
        <v>63</v>
      </c>
      <c r="I90" s="313" t="s">
        <v>64</v>
      </c>
    </row>
    <row r="91" spans="1:12" ht="26.25" customHeight="1" x14ac:dyDescent="0.4">
      <c r="A91" s="307" t="s">
        <v>65</v>
      </c>
      <c r="B91" s="308">
        <v>50</v>
      </c>
      <c r="C91" s="403">
        <v>1</v>
      </c>
      <c r="D91" s="315">
        <v>11026309</v>
      </c>
      <c r="E91" s="316">
        <f>IF(ISBLANK(D91),"-",$D$101/$D$98*D91)</f>
        <v>10295216.826540262</v>
      </c>
      <c r="F91" s="315">
        <v>10719951</v>
      </c>
      <c r="G91" s="317">
        <f>IF(ISBLANK(F91),"-",$D$101/$F$98*F91)</f>
        <v>10179674.932625819</v>
      </c>
      <c r="I91" s="318"/>
    </row>
    <row r="92" spans="1:12" ht="26.25" customHeight="1" x14ac:dyDescent="0.4">
      <c r="A92" s="307" t="s">
        <v>66</v>
      </c>
      <c r="B92" s="308">
        <v>1</v>
      </c>
      <c r="C92" s="386">
        <v>2</v>
      </c>
      <c r="D92" s="320">
        <v>11039649</v>
      </c>
      <c r="E92" s="321">
        <f>IF(ISBLANK(D92),"-",$D$101/$D$98*D92)</f>
        <v>10307672.326605247</v>
      </c>
      <c r="F92" s="320">
        <v>10973851</v>
      </c>
      <c r="G92" s="322">
        <f>IF(ISBLANK(F92),"-",$D$101/$F$98*F92)</f>
        <v>10420778.596755784</v>
      </c>
      <c r="I92" s="490">
        <f>ABS((F96/D96*D95)-F95)/D95</f>
        <v>2.6254127127067119E-3</v>
      </c>
    </row>
    <row r="93" spans="1:12" ht="26.25" customHeight="1" x14ac:dyDescent="0.4">
      <c r="A93" s="307" t="s">
        <v>67</v>
      </c>
      <c r="B93" s="308">
        <v>1</v>
      </c>
      <c r="C93" s="386">
        <v>3</v>
      </c>
      <c r="D93" s="320">
        <v>10992743</v>
      </c>
      <c r="E93" s="321">
        <f>IF(ISBLANK(D93),"-",$D$101/$D$98*D93)</f>
        <v>10263876.398115877</v>
      </c>
      <c r="F93" s="320">
        <v>10897979</v>
      </c>
      <c r="G93" s="322">
        <f>IF(ISBLANK(F93),"-",$D$101/$F$98*F93)</f>
        <v>10348730.478579855</v>
      </c>
      <c r="I93" s="490"/>
    </row>
    <row r="94" spans="1:12" ht="27" customHeight="1" x14ac:dyDescent="0.4">
      <c r="A94" s="307" t="s">
        <v>68</v>
      </c>
      <c r="B94" s="308">
        <v>1</v>
      </c>
      <c r="C94" s="404">
        <v>4</v>
      </c>
      <c r="D94" s="325"/>
      <c r="E94" s="326" t="str">
        <f>IF(ISBLANK(D94),"-",$D$101/$D$98*D94)</f>
        <v>-</v>
      </c>
      <c r="F94" s="405"/>
      <c r="G94" s="327" t="str">
        <f>IF(ISBLANK(F94),"-",$D$101/$F$98*F94)</f>
        <v>-</v>
      </c>
      <c r="I94" s="328"/>
    </row>
    <row r="95" spans="1:12" ht="27" customHeight="1" x14ac:dyDescent="0.4">
      <c r="A95" s="307" t="s">
        <v>69</v>
      </c>
      <c r="B95" s="308">
        <v>1</v>
      </c>
      <c r="C95" s="406" t="s">
        <v>70</v>
      </c>
      <c r="D95" s="407">
        <f>AVERAGE(D91:D94)</f>
        <v>11019567</v>
      </c>
      <c r="E95" s="331">
        <f>AVERAGE(E91:E94)</f>
        <v>10288921.850420462</v>
      </c>
      <c r="F95" s="408">
        <f>AVERAGE(F91:F94)</f>
        <v>10863927</v>
      </c>
      <c r="G95" s="409">
        <f>AVERAGE(G91:G94)</f>
        <v>10316394.669320486</v>
      </c>
    </row>
    <row r="96" spans="1:12" ht="26.25" customHeight="1" x14ac:dyDescent="0.4">
      <c r="A96" s="307" t="s">
        <v>71</v>
      </c>
      <c r="B96" s="293">
        <v>1</v>
      </c>
      <c r="C96" s="410" t="s">
        <v>112</v>
      </c>
      <c r="D96" s="411">
        <v>16.12</v>
      </c>
      <c r="E96" s="323"/>
      <c r="F96" s="335">
        <v>15.85</v>
      </c>
    </row>
    <row r="97" spans="1:10" ht="26.25" customHeight="1" x14ac:dyDescent="0.4">
      <c r="A97" s="307" t="s">
        <v>73</v>
      </c>
      <c r="B97" s="293">
        <v>1</v>
      </c>
      <c r="C97" s="412" t="s">
        <v>113</v>
      </c>
      <c r="D97" s="413">
        <f>D96*$B$87</f>
        <v>16.12</v>
      </c>
      <c r="E97" s="338"/>
      <c r="F97" s="337">
        <f>F96*$B$87</f>
        <v>15.85</v>
      </c>
    </row>
    <row r="98" spans="1:10" ht="19.5" customHeight="1" x14ac:dyDescent="0.3">
      <c r="A98" s="307" t="s">
        <v>75</v>
      </c>
      <c r="B98" s="414">
        <f>(B97/B96)*(B95/B94)*(B93/B92)*(B91/B90)*B89</f>
        <v>500</v>
      </c>
      <c r="C98" s="412" t="s">
        <v>114</v>
      </c>
      <c r="D98" s="415">
        <f>D97*$B$83/100</f>
        <v>16.065192</v>
      </c>
      <c r="E98" s="341"/>
      <c r="F98" s="340">
        <f>F97*$B$83/100</f>
        <v>15.796109999999999</v>
      </c>
    </row>
    <row r="99" spans="1:10" ht="19.5" customHeight="1" x14ac:dyDescent="0.3">
      <c r="A99" s="476" t="s">
        <v>77</v>
      </c>
      <c r="B99" s="491"/>
      <c r="C99" s="412" t="s">
        <v>115</v>
      </c>
      <c r="D99" s="416">
        <f>D98/$B$98</f>
        <v>3.2130383999999998E-2</v>
      </c>
      <c r="E99" s="341"/>
      <c r="F99" s="344">
        <f>F98/$B$98</f>
        <v>3.1592219999999997E-2</v>
      </c>
      <c r="G99" s="417"/>
      <c r="H99" s="333"/>
    </row>
    <row r="100" spans="1:10" ht="19.5" customHeight="1" x14ac:dyDescent="0.3">
      <c r="A100" s="478"/>
      <c r="B100" s="492"/>
      <c r="C100" s="412" t="s">
        <v>79</v>
      </c>
      <c r="D100" s="418">
        <v>0.03</v>
      </c>
      <c r="F100" s="349"/>
      <c r="G100" s="419"/>
      <c r="H100" s="333"/>
    </row>
    <row r="101" spans="1:10" ht="18.75" x14ac:dyDescent="0.3">
      <c r="C101" s="412" t="s">
        <v>80</v>
      </c>
      <c r="D101" s="413">
        <f>D100*$B$98</f>
        <v>15</v>
      </c>
      <c r="F101" s="349"/>
      <c r="G101" s="417"/>
      <c r="H101" s="333"/>
    </row>
    <row r="102" spans="1:10" ht="19.5" customHeight="1" x14ac:dyDescent="0.3">
      <c r="C102" s="420" t="s">
        <v>81</v>
      </c>
      <c r="D102" s="421">
        <f>D101/B34</f>
        <v>15</v>
      </c>
      <c r="F102" s="353"/>
      <c r="G102" s="417"/>
      <c r="H102" s="333"/>
      <c r="J102" s="422"/>
    </row>
    <row r="103" spans="1:10" ht="18.75" x14ac:dyDescent="0.3">
      <c r="C103" s="423" t="s">
        <v>116</v>
      </c>
      <c r="D103" s="424">
        <f>AVERAGE(E91:E94,G91:G94)</f>
        <v>10302658.259870473</v>
      </c>
      <c r="F103" s="353"/>
      <c r="G103" s="425"/>
      <c r="H103" s="333"/>
      <c r="J103" s="426"/>
    </row>
    <row r="104" spans="1:10" ht="18.75" x14ac:dyDescent="0.3">
      <c r="C104" s="389" t="s">
        <v>83</v>
      </c>
      <c r="D104" s="427">
        <f>STDEV(E91:E94,G91:G94)/D103</f>
        <v>7.8595929878989019E-3</v>
      </c>
      <c r="F104" s="353"/>
      <c r="G104" s="417"/>
      <c r="H104" s="333"/>
      <c r="J104" s="426"/>
    </row>
    <row r="105" spans="1:10" ht="19.5" customHeight="1" x14ac:dyDescent="0.3">
      <c r="C105" s="392" t="s">
        <v>20</v>
      </c>
      <c r="D105" s="428">
        <f>COUNT(E91:E94,G91:G94)</f>
        <v>6</v>
      </c>
      <c r="F105" s="353"/>
      <c r="G105" s="417"/>
      <c r="H105" s="333"/>
      <c r="J105" s="426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117</v>
      </c>
      <c r="B107" s="306">
        <v>900</v>
      </c>
      <c r="C107" s="429" t="s">
        <v>118</v>
      </c>
      <c r="D107" s="430" t="s">
        <v>62</v>
      </c>
      <c r="E107" s="431" t="s">
        <v>119</v>
      </c>
      <c r="F107" s="432" t="s">
        <v>120</v>
      </c>
    </row>
    <row r="108" spans="1:10" ht="26.25" customHeight="1" x14ac:dyDescent="0.4">
      <c r="A108" s="307" t="s">
        <v>121</v>
      </c>
      <c r="B108" s="308">
        <v>5</v>
      </c>
      <c r="C108" s="433">
        <v>1</v>
      </c>
      <c r="D108" s="434">
        <v>12155476</v>
      </c>
      <c r="E108" s="435">
        <f t="shared" ref="E108:E113" si="1">IF(ISBLANK(D108),"-",D108/$D$103*$D$100*$B$116)</f>
        <v>127.42259083885256</v>
      </c>
      <c r="F108" s="436">
        <f t="shared" ref="F108:F113" si="2">IF(ISBLANK(D108), "-", E108/$B$56)</f>
        <v>0.79639119274282844</v>
      </c>
    </row>
    <row r="109" spans="1:10" ht="26.25" customHeight="1" x14ac:dyDescent="0.4">
      <c r="A109" s="307" t="s">
        <v>94</v>
      </c>
      <c r="B109" s="308">
        <v>20</v>
      </c>
      <c r="C109" s="433">
        <v>2</v>
      </c>
      <c r="D109" s="434">
        <v>11846340</v>
      </c>
      <c r="E109" s="437">
        <f t="shared" si="1"/>
        <v>124.18200116210443</v>
      </c>
      <c r="F109" s="438">
        <f>IF(ISBLANK(D109), "-", E109/$B$56)</f>
        <v>0.77613750726315267</v>
      </c>
    </row>
    <row r="110" spans="1:10" ht="26.25" customHeight="1" x14ac:dyDescent="0.4">
      <c r="A110" s="307" t="s">
        <v>95</v>
      </c>
      <c r="B110" s="308">
        <v>1</v>
      </c>
      <c r="C110" s="433">
        <v>3</v>
      </c>
      <c r="D110" s="434">
        <v>12091899</v>
      </c>
      <c r="E110" s="437">
        <f t="shared" si="1"/>
        <v>126.75613021997086</v>
      </c>
      <c r="F110" s="438">
        <f t="shared" si="2"/>
        <v>0.79222581387481783</v>
      </c>
    </row>
    <row r="111" spans="1:10" ht="26.25" customHeight="1" x14ac:dyDescent="0.4">
      <c r="A111" s="307" t="s">
        <v>96</v>
      </c>
      <c r="B111" s="308">
        <v>1</v>
      </c>
      <c r="C111" s="433">
        <v>4</v>
      </c>
      <c r="D111" s="434">
        <v>11959254</v>
      </c>
      <c r="E111" s="437">
        <f>IF(ISBLANK(D111),"-",D111/$D$103*$D$100*$B$116)</f>
        <v>125.36564830368724</v>
      </c>
      <c r="F111" s="438">
        <f t="shared" si="2"/>
        <v>0.78353530189804521</v>
      </c>
    </row>
    <row r="112" spans="1:10" ht="26.25" customHeight="1" x14ac:dyDescent="0.4">
      <c r="A112" s="307" t="s">
        <v>97</v>
      </c>
      <c r="B112" s="308">
        <v>1</v>
      </c>
      <c r="C112" s="433">
        <v>5</v>
      </c>
      <c r="D112" s="434">
        <v>12139252</v>
      </c>
      <c r="E112" s="437">
        <f t="shared" si="1"/>
        <v>127.2525190034288</v>
      </c>
      <c r="F112" s="438">
        <f t="shared" si="2"/>
        <v>0.79532824377142997</v>
      </c>
    </row>
    <row r="113" spans="1:10" ht="26.25" customHeight="1" x14ac:dyDescent="0.4">
      <c r="A113" s="307" t="s">
        <v>99</v>
      </c>
      <c r="B113" s="308">
        <v>1</v>
      </c>
      <c r="C113" s="439">
        <v>6</v>
      </c>
      <c r="D113" s="440">
        <v>12343394</v>
      </c>
      <c r="E113" s="441">
        <f t="shared" si="1"/>
        <v>129.39248477186314</v>
      </c>
      <c r="F113" s="442">
        <f>IF(ISBLANK(D113), "-", E113/$B$56)</f>
        <v>0.80870302982414466</v>
      </c>
    </row>
    <row r="114" spans="1:10" ht="26.25" customHeight="1" x14ac:dyDescent="0.4">
      <c r="A114" s="307" t="s">
        <v>100</v>
      </c>
      <c r="B114" s="308">
        <v>1</v>
      </c>
      <c r="C114" s="433"/>
      <c r="D114" s="386"/>
      <c r="E114" s="281"/>
      <c r="F114" s="443"/>
    </row>
    <row r="115" spans="1:10" ht="26.25" customHeight="1" x14ac:dyDescent="0.4">
      <c r="A115" s="307" t="s">
        <v>101</v>
      </c>
      <c r="B115" s="308">
        <v>1</v>
      </c>
      <c r="C115" s="433"/>
      <c r="D115" s="444"/>
      <c r="E115" s="445" t="s">
        <v>70</v>
      </c>
      <c r="F115" s="446">
        <f>AVERAGE(F108:F113)</f>
        <v>0.79205351489573639</v>
      </c>
    </row>
    <row r="116" spans="1:10" ht="27" customHeight="1" x14ac:dyDescent="0.4">
      <c r="A116" s="307" t="s">
        <v>102</v>
      </c>
      <c r="B116" s="339">
        <f>(B115/B114)*(B113/B112)*(B111/B110)*(B109/B108)*B107</f>
        <v>3600</v>
      </c>
      <c r="C116" s="447"/>
      <c r="D116" s="448"/>
      <c r="E116" s="406" t="s">
        <v>83</v>
      </c>
      <c r="F116" s="449">
        <f>STDEV(F108:F113)/F115</f>
        <v>1.4201813394186913E-2</v>
      </c>
      <c r="I116" s="281"/>
    </row>
    <row r="117" spans="1:10" ht="27" customHeight="1" x14ac:dyDescent="0.4">
      <c r="A117" s="476" t="s">
        <v>77</v>
      </c>
      <c r="B117" s="477"/>
      <c r="C117" s="450"/>
      <c r="D117" s="451"/>
      <c r="E117" s="452" t="s">
        <v>20</v>
      </c>
      <c r="F117" s="453">
        <f>COUNT(F108:F113)</f>
        <v>6</v>
      </c>
      <c r="I117" s="281"/>
      <c r="J117" s="426"/>
    </row>
    <row r="118" spans="1:10" ht="19.5" customHeight="1" x14ac:dyDescent="0.3">
      <c r="A118" s="478"/>
      <c r="B118" s="479"/>
      <c r="C118" s="281"/>
      <c r="D118" s="281"/>
      <c r="E118" s="281"/>
      <c r="F118" s="386"/>
      <c r="G118" s="281"/>
      <c r="H118" s="281"/>
      <c r="I118" s="281"/>
    </row>
    <row r="119" spans="1:10" ht="18.75" x14ac:dyDescent="0.3">
      <c r="A119" s="462"/>
      <c r="B119" s="303"/>
      <c r="C119" s="281"/>
      <c r="D119" s="281"/>
      <c r="E119" s="281"/>
      <c r="F119" s="386"/>
      <c r="G119" s="281"/>
      <c r="H119" s="281"/>
      <c r="I119" s="281"/>
    </row>
    <row r="120" spans="1:10" ht="26.25" customHeight="1" x14ac:dyDescent="0.4">
      <c r="A120" s="291" t="s">
        <v>105</v>
      </c>
      <c r="B120" s="394" t="s">
        <v>122</v>
      </c>
      <c r="C120" s="480" t="str">
        <f>B20</f>
        <v>each tablets contains sulphamethoxazole 800mg Trimethoprim 160mg.</v>
      </c>
      <c r="D120" s="480"/>
      <c r="E120" s="395" t="s">
        <v>123</v>
      </c>
      <c r="F120" s="395"/>
      <c r="G120" s="396">
        <f>F115</f>
        <v>0.79205351489573639</v>
      </c>
      <c r="H120" s="281"/>
      <c r="I120" s="281"/>
    </row>
    <row r="121" spans="1:10" ht="19.5" customHeight="1" x14ac:dyDescent="0.3">
      <c r="A121" s="454"/>
      <c r="B121" s="454"/>
      <c r="C121" s="455"/>
      <c r="D121" s="455"/>
      <c r="E121" s="455"/>
      <c r="F121" s="455"/>
      <c r="G121" s="455"/>
      <c r="H121" s="455"/>
    </row>
    <row r="122" spans="1:10" ht="18.75" x14ac:dyDescent="0.3">
      <c r="B122" s="481" t="s">
        <v>26</v>
      </c>
      <c r="C122" s="481"/>
      <c r="E122" s="401" t="s">
        <v>27</v>
      </c>
      <c r="F122" s="456"/>
      <c r="G122" s="481" t="s">
        <v>28</v>
      </c>
      <c r="H122" s="481"/>
    </row>
    <row r="123" spans="1:10" ht="18.75" x14ac:dyDescent="0.3">
      <c r="A123" s="457" t="s">
        <v>29</v>
      </c>
      <c r="B123" s="458"/>
      <c r="C123" s="458"/>
      <c r="E123" s="458"/>
      <c r="F123" s="281"/>
      <c r="G123" s="459"/>
      <c r="H123" s="459"/>
    </row>
    <row r="124" spans="1:10" ht="18.75" x14ac:dyDescent="0.3">
      <c r="A124" s="457" t="s">
        <v>30</v>
      </c>
      <c r="B124" s="460"/>
      <c r="C124" s="460"/>
      <c r="E124" s="460"/>
      <c r="F124" s="281"/>
      <c r="G124" s="461"/>
      <c r="H124" s="461"/>
    </row>
    <row r="125" spans="1:10" ht="18.75" x14ac:dyDescent="0.3">
      <c r="A125" s="385"/>
      <c r="B125" s="385"/>
      <c r="C125" s="386"/>
      <c r="D125" s="386"/>
      <c r="E125" s="386"/>
      <c r="F125" s="391"/>
      <c r="G125" s="386"/>
      <c r="H125" s="386"/>
      <c r="I125" s="281"/>
    </row>
    <row r="126" spans="1:10" ht="18.75" x14ac:dyDescent="0.3">
      <c r="A126" s="385"/>
      <c r="B126" s="385"/>
      <c r="C126" s="386"/>
      <c r="D126" s="386"/>
      <c r="E126" s="386"/>
      <c r="F126" s="391"/>
      <c r="G126" s="386"/>
      <c r="H126" s="386"/>
      <c r="I126" s="281"/>
    </row>
    <row r="127" spans="1:10" ht="18.75" x14ac:dyDescent="0.3">
      <c r="A127" s="385"/>
      <c r="B127" s="385"/>
      <c r="C127" s="386"/>
      <c r="D127" s="386"/>
      <c r="E127" s="386"/>
      <c r="F127" s="391"/>
      <c r="G127" s="386"/>
      <c r="H127" s="386"/>
      <c r="I127" s="281"/>
    </row>
    <row r="128" spans="1:10" ht="18.75" x14ac:dyDescent="0.3">
      <c r="A128" s="385"/>
      <c r="B128" s="385"/>
      <c r="C128" s="386"/>
      <c r="D128" s="386"/>
      <c r="E128" s="386"/>
      <c r="F128" s="391"/>
      <c r="G128" s="386"/>
      <c r="H128" s="386"/>
      <c r="I128" s="281"/>
    </row>
    <row r="129" spans="1:9" ht="18.75" x14ac:dyDescent="0.3">
      <c r="A129" s="385"/>
      <c r="B129" s="385"/>
      <c r="C129" s="386"/>
      <c r="D129" s="386"/>
      <c r="E129" s="386"/>
      <c r="F129" s="391"/>
      <c r="G129" s="386"/>
      <c r="H129" s="386"/>
      <c r="I129" s="281"/>
    </row>
    <row r="130" spans="1:9" ht="18.75" x14ac:dyDescent="0.3">
      <c r="A130" s="385"/>
      <c r="B130" s="385"/>
      <c r="C130" s="386"/>
      <c r="D130" s="386"/>
      <c r="E130" s="386"/>
      <c r="F130" s="391"/>
      <c r="G130" s="386"/>
      <c r="H130" s="386"/>
      <c r="I130" s="281"/>
    </row>
    <row r="131" spans="1:9" ht="18.75" x14ac:dyDescent="0.3">
      <c r="A131" s="385"/>
      <c r="B131" s="385"/>
      <c r="C131" s="386"/>
      <c r="D131" s="386"/>
      <c r="E131" s="386"/>
      <c r="F131" s="391"/>
      <c r="G131" s="386"/>
      <c r="H131" s="386"/>
      <c r="I131" s="281"/>
    </row>
    <row r="132" spans="1:9" ht="18.75" x14ac:dyDescent="0.3">
      <c r="A132" s="385"/>
      <c r="B132" s="385"/>
      <c r="C132" s="386"/>
      <c r="D132" s="386"/>
      <c r="E132" s="386"/>
      <c r="F132" s="391"/>
      <c r="G132" s="386"/>
      <c r="H132" s="386"/>
      <c r="I132" s="281"/>
    </row>
    <row r="133" spans="1:9" ht="18.75" x14ac:dyDescent="0.3">
      <c r="A133" s="385"/>
      <c r="B133" s="385"/>
      <c r="C133" s="386"/>
      <c r="D133" s="386"/>
      <c r="E133" s="386"/>
      <c r="F133" s="391"/>
      <c r="G133" s="386"/>
      <c r="H133" s="386"/>
      <c r="I133" s="281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D63" sqref="D63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/>
      <c r="D17" s="9"/>
      <c r="E17" s="72"/>
    </row>
    <row r="18" spans="1:5" ht="16.5" customHeight="1" x14ac:dyDescent="0.3">
      <c r="A18" s="75" t="s">
        <v>4</v>
      </c>
      <c r="B18" s="464" t="s">
        <v>125</v>
      </c>
      <c r="D18" s="72"/>
      <c r="E18" s="72"/>
    </row>
    <row r="19" spans="1:5" ht="16.5" customHeight="1" x14ac:dyDescent="0.3">
      <c r="A19" s="75" t="s">
        <v>6</v>
      </c>
      <c r="B19" s="465">
        <v>99.66</v>
      </c>
      <c r="C19" s="72"/>
      <c r="D19" s="72"/>
      <c r="E19" s="72"/>
    </row>
    <row r="20" spans="1:5" ht="16.5" customHeight="1" x14ac:dyDescent="0.3">
      <c r="A20" s="8" t="s">
        <v>8</v>
      </c>
      <c r="B20" s="465">
        <v>16.32</v>
      </c>
      <c r="C20" s="72"/>
      <c r="D20" s="72"/>
      <c r="E20" s="72"/>
    </row>
    <row r="21" spans="1:5" ht="16.5" customHeight="1" x14ac:dyDescent="0.3">
      <c r="A21" s="8" t="s">
        <v>10</v>
      </c>
      <c r="B21" s="465">
        <v>3.2640000000000002E-2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10185788</v>
      </c>
      <c r="C24" s="18">
        <v>5752</v>
      </c>
      <c r="D24" s="19">
        <v>1.2</v>
      </c>
      <c r="E24" s="20">
        <v>3.9</v>
      </c>
    </row>
    <row r="25" spans="1:5" ht="16.5" customHeight="1" x14ac:dyDescent="0.3">
      <c r="A25" s="17">
        <v>2</v>
      </c>
      <c r="B25" s="18">
        <v>10176368</v>
      </c>
      <c r="C25" s="18">
        <v>5891</v>
      </c>
      <c r="D25" s="19">
        <v>1.2</v>
      </c>
      <c r="E25" s="19">
        <v>3.9</v>
      </c>
    </row>
    <row r="26" spans="1:5" ht="16.5" customHeight="1" x14ac:dyDescent="0.3">
      <c r="A26" s="17">
        <v>3</v>
      </c>
      <c r="B26" s="18">
        <v>10195929</v>
      </c>
      <c r="C26" s="18">
        <v>5899.7</v>
      </c>
      <c r="D26" s="19">
        <v>1.2</v>
      </c>
      <c r="E26" s="19">
        <v>3.9</v>
      </c>
    </row>
    <row r="27" spans="1:5" ht="16.5" customHeight="1" x14ac:dyDescent="0.3">
      <c r="A27" s="17">
        <v>4</v>
      </c>
      <c r="B27" s="18">
        <v>10207041</v>
      </c>
      <c r="C27" s="18">
        <v>5786.6</v>
      </c>
      <c r="D27" s="19">
        <v>1.2</v>
      </c>
      <c r="E27" s="19">
        <v>3.9</v>
      </c>
    </row>
    <row r="28" spans="1:5" ht="16.5" customHeight="1" x14ac:dyDescent="0.3">
      <c r="A28" s="17">
        <v>5</v>
      </c>
      <c r="B28" s="18">
        <v>10227648</v>
      </c>
      <c r="C28" s="18">
        <v>5894.7</v>
      </c>
      <c r="D28" s="19">
        <v>1.2</v>
      </c>
      <c r="E28" s="19">
        <v>3.9</v>
      </c>
    </row>
    <row r="29" spans="1:5" ht="16.5" customHeight="1" x14ac:dyDescent="0.3">
      <c r="A29" s="17">
        <v>6</v>
      </c>
      <c r="B29" s="21">
        <v>10232934</v>
      </c>
      <c r="C29" s="21">
        <v>5845.4</v>
      </c>
      <c r="D29" s="22">
        <v>1.2</v>
      </c>
      <c r="E29" s="22">
        <v>3.9</v>
      </c>
    </row>
    <row r="30" spans="1:5" ht="16.5" customHeight="1" x14ac:dyDescent="0.3">
      <c r="A30" s="23" t="s">
        <v>18</v>
      </c>
      <c r="B30" s="24">
        <v>10204284.666666666</v>
      </c>
      <c r="C30" s="25">
        <v>5844.9000000000005</v>
      </c>
      <c r="D30" s="26">
        <v>1.2</v>
      </c>
      <c r="E30" s="26">
        <v>3.9</v>
      </c>
    </row>
    <row r="31" spans="1:5" ht="16.5" customHeight="1" x14ac:dyDescent="0.3">
      <c r="A31" s="27" t="s">
        <v>19</v>
      </c>
      <c r="B31" s="28">
        <f>(STDEV(B24:B29)/B30)</f>
        <v>2.2198283043471717E-3</v>
      </c>
      <c r="C31" s="29"/>
      <c r="D31" s="29"/>
      <c r="E31" s="30"/>
    </row>
    <row r="32" spans="1:5" s="41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17" customFormat="1" ht="15.75" customHeight="1" x14ac:dyDescent="0.25">
      <c r="A33" s="72"/>
      <c r="B33" s="72"/>
      <c r="C33" s="72"/>
      <c r="D33" s="72"/>
      <c r="E33" s="72"/>
    </row>
    <row r="34" spans="1:5" s="41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125</v>
      </c>
      <c r="C39" s="72"/>
      <c r="D39" s="72"/>
      <c r="E39" s="72"/>
    </row>
    <row r="40" spans="1:5" ht="16.5" customHeight="1" x14ac:dyDescent="0.3">
      <c r="A40" s="75" t="s">
        <v>6</v>
      </c>
      <c r="B40" s="513">
        <v>99.66</v>
      </c>
      <c r="C40" s="72"/>
      <c r="D40" s="72"/>
      <c r="E40" s="72"/>
    </row>
    <row r="41" spans="1:5" ht="16.5" customHeight="1" x14ac:dyDescent="0.3">
      <c r="A41" s="8" t="s">
        <v>8</v>
      </c>
      <c r="B41" s="12">
        <v>16.12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B41/50*5/50</f>
        <v>3.2240000000000005E-2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10960661</v>
      </c>
      <c r="C45" s="18">
        <v>8855.9</v>
      </c>
      <c r="D45" s="19">
        <v>1.18</v>
      </c>
      <c r="E45" s="20">
        <v>4.57</v>
      </c>
    </row>
    <row r="46" spans="1:5" ht="16.5" customHeight="1" x14ac:dyDescent="0.3">
      <c r="A46" s="17">
        <v>2</v>
      </c>
      <c r="B46" s="18">
        <v>11134987</v>
      </c>
      <c r="C46" s="18">
        <v>8792.5</v>
      </c>
      <c r="D46" s="19">
        <v>1.17</v>
      </c>
      <c r="E46" s="19">
        <v>4.4800000000000004</v>
      </c>
    </row>
    <row r="47" spans="1:5" ht="16.5" customHeight="1" x14ac:dyDescent="0.3">
      <c r="A47" s="17">
        <v>3</v>
      </c>
      <c r="B47" s="18">
        <v>11126586</v>
      </c>
      <c r="C47" s="18">
        <v>8849.7000000000007</v>
      </c>
      <c r="D47" s="19">
        <v>1.18</v>
      </c>
      <c r="E47" s="19">
        <v>4.45</v>
      </c>
    </row>
    <row r="48" spans="1:5" ht="16.5" customHeight="1" x14ac:dyDescent="0.3">
      <c r="A48" s="17">
        <v>4</v>
      </c>
      <c r="B48" s="18">
        <v>11090612</v>
      </c>
      <c r="C48" s="18">
        <v>8955.9</v>
      </c>
      <c r="D48" s="19">
        <v>1.23</v>
      </c>
      <c r="E48" s="19">
        <v>4.4400000000000004</v>
      </c>
    </row>
    <row r="49" spans="1:7" ht="16.5" customHeight="1" x14ac:dyDescent="0.3">
      <c r="A49" s="17">
        <v>5</v>
      </c>
      <c r="B49" s="18">
        <v>11108918</v>
      </c>
      <c r="C49" s="18">
        <v>8975.5</v>
      </c>
      <c r="D49" s="19">
        <v>1.21</v>
      </c>
      <c r="E49" s="19">
        <v>4.45</v>
      </c>
    </row>
    <row r="50" spans="1:7" ht="16.5" customHeight="1" x14ac:dyDescent="0.3">
      <c r="A50" s="17">
        <v>6</v>
      </c>
      <c r="B50" s="21">
        <v>11066449</v>
      </c>
      <c r="C50" s="21">
        <v>8990.1</v>
      </c>
      <c r="D50" s="22">
        <v>1.23</v>
      </c>
      <c r="E50" s="22">
        <v>4.4400000000000004</v>
      </c>
    </row>
    <row r="51" spans="1:7" ht="16.5" customHeight="1" x14ac:dyDescent="0.3">
      <c r="A51" s="23" t="s">
        <v>18</v>
      </c>
      <c r="B51" s="24">
        <f>AVERAGE(B45:B50)</f>
        <v>11081368.833333334</v>
      </c>
      <c r="C51" s="25">
        <f>AVERAGE(C45:C50)</f>
        <v>8903.2666666666664</v>
      </c>
      <c r="D51" s="26">
        <f>AVERAGE(D45:D50)</f>
        <v>1.2</v>
      </c>
      <c r="E51" s="26">
        <f>AVERAGE(E45:E50)</f>
        <v>4.4716666666666667</v>
      </c>
    </row>
    <row r="52" spans="1:7" ht="16.5" customHeight="1" x14ac:dyDescent="0.3">
      <c r="A52" s="27" t="s">
        <v>19</v>
      </c>
      <c r="B52" s="28">
        <f>(STDEV(B45:B50)/B51)</f>
        <v>5.7862892067681278E-3</v>
      </c>
      <c r="C52" s="29"/>
      <c r="D52" s="29"/>
      <c r="E52" s="30"/>
    </row>
    <row r="53" spans="1:7" s="417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17" customFormat="1" ht="15.75" customHeight="1" x14ac:dyDescent="0.25">
      <c r="A54" s="72"/>
      <c r="B54" s="72"/>
      <c r="C54" s="72"/>
      <c r="D54" s="72"/>
      <c r="E54" s="72"/>
    </row>
    <row r="55" spans="1:7" s="41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3"/>
      <c r="D58" s="43"/>
      <c r="F58" s="44"/>
      <c r="G58" s="44"/>
    </row>
    <row r="59" spans="1:7" ht="15" customHeight="1" x14ac:dyDescent="0.3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Uniformity</vt:lpstr>
      <vt:lpstr>SULPHAMETHOXAZOLE</vt:lpstr>
      <vt:lpstr>TRIMETHROPRIM</vt:lpstr>
      <vt:lpstr>SST (Trim)</vt:lpstr>
      <vt:lpstr>SULPHAMETHOXAZOLE!Print_Area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2015-06-16T11:20:55Z</cp:lastPrinted>
  <dcterms:created xsi:type="dcterms:W3CDTF">2005-07-05T10:19:27Z</dcterms:created>
  <dcterms:modified xsi:type="dcterms:W3CDTF">2015-06-16T11:21:51Z</dcterms:modified>
  <cp:category/>
</cp:coreProperties>
</file>