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Acyclovir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3" i="3" l="1"/>
  <c r="H70" i="3"/>
  <c r="G38" i="3"/>
  <c r="G40" i="3"/>
  <c r="C120" i="3"/>
  <c r="B116" i="3"/>
  <c r="D100" i="3" s="1"/>
  <c r="B98" i="3"/>
  <c r="F95" i="3"/>
  <c r="D95" i="3"/>
  <c r="I92" i="3" s="1"/>
  <c r="G94" i="3"/>
  <c r="E94" i="3"/>
  <c r="B87" i="3"/>
  <c r="F97" i="3" s="1"/>
  <c r="B81" i="3"/>
  <c r="B83" i="3" s="1"/>
  <c r="B80" i="3"/>
  <c r="B79" i="3"/>
  <c r="C76" i="3"/>
  <c r="H71" i="3"/>
  <c r="G71" i="3"/>
  <c r="B68" i="3"/>
  <c r="G65" i="3" s="1"/>
  <c r="H65" i="3" s="1"/>
  <c r="H67" i="3"/>
  <c r="G67" i="3"/>
  <c r="G64" i="3"/>
  <c r="H64" i="3" s="1"/>
  <c r="H63" i="3"/>
  <c r="G63" i="3"/>
  <c r="G60" i="3"/>
  <c r="H60" i="3" s="1"/>
  <c r="B57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D49" i="2"/>
  <c r="C46" i="2"/>
  <c r="C49" i="2" s="1"/>
  <c r="C45" i="2"/>
  <c r="D41" i="2"/>
  <c r="D40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G62" i="3"/>
  <c r="H62" i="3" s="1"/>
  <c r="G66" i="3"/>
  <c r="H66" i="3" s="1"/>
  <c r="H72" i="3" s="1"/>
  <c r="G76" i="3" s="1"/>
  <c r="G69" i="3"/>
  <c r="H69" i="3" s="1"/>
  <c r="B69" i="3"/>
  <c r="G68" i="3"/>
  <c r="H68" i="3" s="1"/>
  <c r="G70" i="3"/>
  <c r="G61" i="3"/>
  <c r="H61" i="3" s="1"/>
  <c r="F98" i="3"/>
  <c r="F45" i="3"/>
  <c r="F46" i="3" s="1"/>
  <c r="I39" i="3"/>
  <c r="C50" i="2"/>
  <c r="H74" i="3"/>
  <c r="D26" i="2"/>
  <c r="D30" i="2"/>
  <c r="D34" i="2"/>
  <c r="D38" i="2"/>
  <c r="D42" i="2"/>
  <c r="B49" i="2"/>
  <c r="D50" i="2"/>
  <c r="D44" i="3"/>
  <c r="D45" i="3" s="1"/>
  <c r="D97" i="3"/>
  <c r="D98" i="3" s="1"/>
  <c r="D39" i="2"/>
  <c r="D43" i="2"/>
  <c r="D99" i="3" l="1"/>
  <c r="E93" i="3"/>
  <c r="E92" i="3"/>
  <c r="E91" i="3"/>
  <c r="F99" i="3"/>
  <c r="G93" i="3"/>
  <c r="G91" i="3"/>
  <c r="G92" i="3"/>
  <c r="G39" i="3"/>
  <c r="G42" i="3" s="1"/>
  <c r="D46" i="3"/>
  <c r="E40" i="3"/>
  <c r="E38" i="3"/>
  <c r="E39" i="3"/>
  <c r="H73" i="3"/>
  <c r="E95" i="3" l="1"/>
  <c r="D103" i="3"/>
  <c r="G95" i="3"/>
  <c r="D105" i="3"/>
  <c r="D50" i="3"/>
  <c r="D51" i="3" s="1"/>
  <c r="D52" i="3"/>
  <c r="E42" i="3"/>
  <c r="D104" i="3" l="1"/>
  <c r="E112" i="3"/>
  <c r="F112" i="3" s="1"/>
  <c r="E110" i="3"/>
  <c r="F110" i="3" s="1"/>
  <c r="E108" i="3"/>
  <c r="F108" i="3" s="1"/>
  <c r="E113" i="3"/>
  <c r="E111" i="3"/>
  <c r="F111" i="3" s="1"/>
  <c r="E109" i="3"/>
  <c r="F109" i="3" s="1"/>
  <c r="F115" i="3" l="1"/>
  <c r="G120" i="3" s="1"/>
  <c r="F117" i="3"/>
  <c r="F116" i="3"/>
</calcChain>
</file>

<file path=xl/sharedStrings.xml><?xml version="1.0" encoding="utf-8"?>
<sst xmlns="http://schemas.openxmlformats.org/spreadsheetml/2006/main" count="233" uniqueCount="124">
  <si>
    <t>HPLC System Suitability Report</t>
  </si>
  <si>
    <t>Analysis Data</t>
  </si>
  <si>
    <t>Assay</t>
  </si>
  <si>
    <t>Sample(s)</t>
  </si>
  <si>
    <t>Reference Substance:</t>
  </si>
  <si>
    <t>Univir Tablets 400mg</t>
  </si>
  <si>
    <t>% age Purity:</t>
  </si>
  <si>
    <t>NDQD201505222</t>
  </si>
  <si>
    <t>Weight (mg):</t>
  </si>
  <si>
    <t>Acyclovir</t>
  </si>
  <si>
    <t>Standard Conc (mg/mL):</t>
  </si>
  <si>
    <t>Acyclovir 400mg</t>
  </si>
  <si>
    <t>2015-05-05 07:53:16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</si>
  <si>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</si>
  <si>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</si>
  <si>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</si>
  <si>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</si>
  <si>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</si>
  <si>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</si>
  <si>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</si>
  <si>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</si>
  <si>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</si>
  <si>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</si>
  <si>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</si>
  <si>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</si>
  <si>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</si>
  <si>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</si>
  <si>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</si>
  <si>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</si>
  <si>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</si>
  <si>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</si>
  <si>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</si>
  <si>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</si>
  <si>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</si>
  <si>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</si>
  <si>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</si>
  <si>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</si>
  <si>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</si>
  <si>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</si>
  <si>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</si>
  <si>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</si>
  <si>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</si>
  <si>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</si>
  <si>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</si>
  <si>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</si>
  <si>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</si>
  <si>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</si>
  <si>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</si>
  <si>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</si>
  <si>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</si>
  <si>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</si>
  <si>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</si>
  <si>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</si>
  <si>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</si>
  <si>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</si>
  <si>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</si>
  <si>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</si>
  <si>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</si>
  <si>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</si>
  <si>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</si>
  <si>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</si>
  <si>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</si>
  <si>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</si>
  <si>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</si>
  <si>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</si>
  <si>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</si>
  <si>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</si>
  <si>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</si>
  <si>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</si>
  <si>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</si>
  <si>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</si>
  <si>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</si>
  <si>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</si>
  <si>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</si>
  <si>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</si>
  <si>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</si>
  <si>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</si>
  <si>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</si>
  <si>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</si>
  <si>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</si>
  <si>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</si>
  <si>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</si>
  <si>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</si>
  <si>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</si>
  <si>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</si>
  <si>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</si>
  <si>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</si>
  <si>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</si>
  <si>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</si>
  <si>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</si>
  <si>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</si>
  <si>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</si>
  <si>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</si>
  <si>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</si>
  <si>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</si>
  <si>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</si>
  <si>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</si>
  <si>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</si>
  <si>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</si>
  <si>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</si>
  <si>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</si>
  <si>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</si>
  <si>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</si>
  <si>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</si>
  <si>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</si>
  <si>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</si>
  <si>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</si>
  <si>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</si>
  <si>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</si>
  <si>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</si>
  <si>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</si>
  <si>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</si>
  <si>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</si>
  <si>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</si>
  <si>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</si>
  <si>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</si>
  <si>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</si>
  <si>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</si>
  <si>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</si>
  <si>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</si>
  <si>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</si>
  <si>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</si>
  <si>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</si>
  <si>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A32-1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</si>
</sst>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170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B23" sqref="B2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9" t="s">
        <v>0</v>
      </c>
      <c r="B15" s="279"/>
      <c r="C15" s="279"/>
      <c r="D15" s="279"/>
      <c r="E15" s="2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79209848</v>
      </c>
      <c r="C24" s="18">
        <v>7666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78947057</v>
      </c>
      <c r="C25" s="18">
        <v>7730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79050471</v>
      </c>
      <c r="C26" s="18">
        <v>7747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78959160</v>
      </c>
      <c r="C27" s="18">
        <v>7750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79132695</v>
      </c>
      <c r="C28" s="18">
        <v>7758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79128844</v>
      </c>
      <c r="C29" s="21">
        <v>7798</v>
      </c>
      <c r="D29" s="22">
        <v>1.1000000000000001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79071345.833333328</v>
      </c>
      <c r="C30" s="25">
        <f>AVERAGE(C24:C29)</f>
        <v>7741.5</v>
      </c>
      <c r="D30" s="26">
        <f>AVERAGE(D24:D29)</f>
        <v>1.0999999999999999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1.3230486997213436E-3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0" t="s">
        <v>26</v>
      </c>
      <c r="C59" s="28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4" t="s">
        <v>31</v>
      </c>
      <c r="B11" s="285"/>
      <c r="C11" s="285"/>
      <c r="D11" s="285"/>
      <c r="E11" s="285"/>
      <c r="F11" s="286"/>
      <c r="G11" s="91"/>
    </row>
    <row r="12" spans="1:7" ht="16.5" customHeight="1" x14ac:dyDescent="0.3">
      <c r="A12" s="283" t="s">
        <v>32</v>
      </c>
      <c r="B12" s="283"/>
      <c r="C12" s="283"/>
      <c r="D12" s="283"/>
      <c r="E12" s="283"/>
      <c r="F12" s="283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3" t="s">
        <v>1</v>
      </c>
      <c r="B21" s="283"/>
      <c r="C21" s="59" t="s">
        <v>39</v>
      </c>
      <c r="D21" s="66"/>
    </row>
    <row r="22" spans="1:5" ht="15.75" customHeight="1" x14ac:dyDescent="0.3">
      <c r="A22" s="287"/>
      <c r="B22" s="287"/>
      <c r="C22" s="57"/>
      <c r="D22" s="287"/>
      <c r="E22" s="28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477.67</v>
      </c>
      <c r="D24" s="87">
        <f t="shared" ref="D24:D43" si="0">(C24-$C$46)/$C$46</f>
        <v>1.8895654223499068E-2</v>
      </c>
      <c r="E24" s="53"/>
    </row>
    <row r="25" spans="1:5" ht="15.75" customHeight="1" x14ac:dyDescent="0.3">
      <c r="C25" s="95">
        <v>464.45</v>
      </c>
      <c r="D25" s="88">
        <f t="shared" si="0"/>
        <v>-9.3033127387022099E-3</v>
      </c>
      <c r="E25" s="53"/>
    </row>
    <row r="26" spans="1:5" ht="15.75" customHeight="1" x14ac:dyDescent="0.3">
      <c r="C26" s="95">
        <v>468.17</v>
      </c>
      <c r="D26" s="88">
        <f t="shared" si="0"/>
        <v>-1.3683538053142136E-3</v>
      </c>
      <c r="E26" s="53"/>
    </row>
    <row r="27" spans="1:5" ht="15.75" customHeight="1" x14ac:dyDescent="0.3">
      <c r="C27" s="95">
        <v>465.86</v>
      </c>
      <c r="D27" s="88">
        <f t="shared" si="0"/>
        <v>-6.2957073365309223E-3</v>
      </c>
      <c r="E27" s="53"/>
    </row>
    <row r="28" spans="1:5" ht="15.75" customHeight="1" x14ac:dyDescent="0.3">
      <c r="C28" s="95">
        <v>464.19</v>
      </c>
      <c r="D28" s="88">
        <f t="shared" si="0"/>
        <v>-9.8579066426486596E-3</v>
      </c>
      <c r="E28" s="53"/>
    </row>
    <row r="29" spans="1:5" ht="15.75" customHeight="1" x14ac:dyDescent="0.3">
      <c r="C29" s="95">
        <v>471</v>
      </c>
      <c r="D29" s="88">
        <f t="shared" si="0"/>
        <v>4.6681875337953932E-3</v>
      </c>
      <c r="E29" s="53"/>
    </row>
    <row r="30" spans="1:5" ht="15.75" customHeight="1" x14ac:dyDescent="0.3">
      <c r="C30" s="95">
        <v>468.62</v>
      </c>
      <c r="D30" s="88">
        <f t="shared" si="0"/>
        <v>-4.0847974079150345E-4</v>
      </c>
      <c r="E30" s="53"/>
    </row>
    <row r="31" spans="1:5" ht="15.75" customHeight="1" x14ac:dyDescent="0.3">
      <c r="C31" s="95">
        <v>474.16</v>
      </c>
      <c r="D31" s="88">
        <f t="shared" si="0"/>
        <v>1.140863652022176E-2</v>
      </c>
      <c r="E31" s="53"/>
    </row>
    <row r="32" spans="1:5" ht="15.75" customHeight="1" x14ac:dyDescent="0.3">
      <c r="C32" s="95">
        <v>477.5</v>
      </c>
      <c r="D32" s="88">
        <f t="shared" si="0"/>
        <v>1.8533035132457115E-2</v>
      </c>
      <c r="E32" s="53"/>
    </row>
    <row r="33" spans="1:7" ht="15.75" customHeight="1" x14ac:dyDescent="0.3">
      <c r="C33" s="95">
        <v>475.5</v>
      </c>
      <c r="D33" s="88">
        <f t="shared" si="0"/>
        <v>1.4266928179022738E-2</v>
      </c>
      <c r="E33" s="53"/>
    </row>
    <row r="34" spans="1:7" ht="15.75" customHeight="1" x14ac:dyDescent="0.3">
      <c r="C34" s="95">
        <v>474.54</v>
      </c>
      <c r="D34" s="88">
        <f t="shared" si="0"/>
        <v>1.2219196841374281E-2</v>
      </c>
      <c r="E34" s="53"/>
    </row>
    <row r="35" spans="1:7" ht="15.75" customHeight="1" x14ac:dyDescent="0.3">
      <c r="C35" s="95">
        <v>465.39</v>
      </c>
      <c r="D35" s="88">
        <f t="shared" si="0"/>
        <v>-7.298242470588058E-3</v>
      </c>
      <c r="E35" s="53"/>
    </row>
    <row r="36" spans="1:7" ht="15.75" customHeight="1" x14ac:dyDescent="0.3">
      <c r="C36" s="95">
        <v>460.03</v>
      </c>
      <c r="D36" s="88">
        <f t="shared" si="0"/>
        <v>-1.8731409105792213E-2</v>
      </c>
      <c r="E36" s="53"/>
    </row>
    <row r="37" spans="1:7" ht="15.75" customHeight="1" x14ac:dyDescent="0.3">
      <c r="C37" s="95">
        <v>470.47</v>
      </c>
      <c r="D37" s="88">
        <f t="shared" si="0"/>
        <v>3.5376691911353422E-3</v>
      </c>
      <c r="E37" s="53"/>
    </row>
    <row r="38" spans="1:7" ht="15.75" customHeight="1" x14ac:dyDescent="0.3">
      <c r="C38" s="95">
        <v>471.88</v>
      </c>
      <c r="D38" s="88">
        <f t="shared" si="0"/>
        <v>6.5452745933065092E-3</v>
      </c>
      <c r="E38" s="53"/>
    </row>
    <row r="39" spans="1:7" ht="15.75" customHeight="1" x14ac:dyDescent="0.3">
      <c r="C39" s="95">
        <v>460.39</v>
      </c>
      <c r="D39" s="88">
        <f t="shared" si="0"/>
        <v>-1.7963509854173998E-2</v>
      </c>
      <c r="E39" s="53"/>
    </row>
    <row r="40" spans="1:7" ht="15.75" customHeight="1" x14ac:dyDescent="0.3">
      <c r="C40" s="95">
        <v>458.21</v>
      </c>
      <c r="D40" s="88">
        <f t="shared" si="0"/>
        <v>-2.2613566433417481E-2</v>
      </c>
      <c r="E40" s="53"/>
    </row>
    <row r="41" spans="1:7" ht="15.75" customHeight="1" x14ac:dyDescent="0.3">
      <c r="C41" s="95">
        <v>466.61</v>
      </c>
      <c r="D41" s="88">
        <f t="shared" si="0"/>
        <v>-4.6959172289930311E-3</v>
      </c>
      <c r="E41" s="53"/>
    </row>
    <row r="42" spans="1:7" ht="15.75" customHeight="1" x14ac:dyDescent="0.3">
      <c r="C42" s="95">
        <v>462.62</v>
      </c>
      <c r="D42" s="88">
        <f t="shared" si="0"/>
        <v>-1.320680060109463E-2</v>
      </c>
      <c r="E42" s="53"/>
    </row>
    <row r="43" spans="1:7" ht="16.5" customHeight="1" x14ac:dyDescent="0.3">
      <c r="C43" s="96">
        <v>478.97</v>
      </c>
      <c r="D43" s="89">
        <f t="shared" si="0"/>
        <v>2.1668623743231436E-2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9376.2300000000014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468.81150000000008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1">
        <f>C46</f>
        <v>468.81150000000008</v>
      </c>
      <c r="C49" s="93">
        <f>-IF(C46&lt;=80,10%,IF(C46&lt;250,7.5%,5%))</f>
        <v>-0.05</v>
      </c>
      <c r="D49" s="81">
        <f>IF(C46&lt;=80,C46*0.9,IF(C46&lt;250,C46*0.925,C46*0.95))</f>
        <v>445.37092500000006</v>
      </c>
    </row>
    <row r="50" spans="1:6" ht="17.25" customHeight="1" x14ac:dyDescent="0.3">
      <c r="B50" s="282"/>
      <c r="C50" s="94">
        <f>IF(C46&lt;=80, 10%, IF(C46&lt;250, 7.5%, 5%))</f>
        <v>0.05</v>
      </c>
      <c r="D50" s="81">
        <f>IF(C46&lt;=80, C46*1.1, IF(C46&lt;250, C46*1.075, C46*1.05))</f>
        <v>492.2520750000001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70" zoomScale="50" zoomScaleNormal="50" workbookViewId="0">
      <selection activeCell="F114" sqref="F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14" ht="20.25" customHeight="1" x14ac:dyDescent="0.25">
      <c r="A17" s="293" t="s">
        <v>45</v>
      </c>
      <c r="B17" s="293"/>
      <c r="C17" s="293"/>
      <c r="D17" s="293"/>
      <c r="E17" s="293"/>
      <c r="F17" s="293"/>
      <c r="G17" s="293"/>
      <c r="H17" s="293"/>
    </row>
    <row r="18" spans="1:14" ht="26.25" customHeight="1" x14ac:dyDescent="0.4">
      <c r="A18" s="100" t="s">
        <v>33</v>
      </c>
      <c r="B18" s="289" t="s">
        <v>5</v>
      </c>
      <c r="C18" s="289"/>
      <c r="D18" s="278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4" t="s">
        <v>9</v>
      </c>
      <c r="C20" s="2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4" t="s">
        <v>11</v>
      </c>
      <c r="C21" s="294"/>
      <c r="D21" s="294"/>
      <c r="E21" s="294"/>
      <c r="F21" s="294"/>
      <c r="G21" s="294"/>
      <c r="H21" s="29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9" t="s">
        <v>9</v>
      </c>
      <c r="C26" s="289"/>
    </row>
    <row r="27" spans="1:14" ht="26.25" customHeight="1" x14ac:dyDescent="0.4">
      <c r="A27" s="109" t="s">
        <v>46</v>
      </c>
      <c r="B27" s="295" t="s">
        <v>123</v>
      </c>
      <c r="C27" s="29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47</v>
      </c>
      <c r="B29" s="111"/>
      <c r="C29" s="296" t="s">
        <v>48</v>
      </c>
      <c r="D29" s="297"/>
      <c r="E29" s="297"/>
      <c r="F29" s="297"/>
      <c r="G29" s="298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299" t="s">
        <v>51</v>
      </c>
      <c r="D31" s="300"/>
      <c r="E31" s="300"/>
      <c r="F31" s="300"/>
      <c r="G31" s="300"/>
      <c r="H31" s="301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299" t="s">
        <v>53</v>
      </c>
      <c r="D32" s="300"/>
      <c r="E32" s="300"/>
      <c r="F32" s="300"/>
      <c r="G32" s="300"/>
      <c r="H32" s="3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2" t="s">
        <v>57</v>
      </c>
      <c r="E36" s="303"/>
      <c r="F36" s="302" t="s">
        <v>58</v>
      </c>
      <c r="G36" s="30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79105714</v>
      </c>
      <c r="E38" s="133">
        <f>IF(ISBLANK(D38),"-",$D$48/$D$45*D38)</f>
        <v>76586626.67539297</v>
      </c>
      <c r="F38" s="132">
        <v>83502371</v>
      </c>
      <c r="G38" s="134">
        <f>IF(ISBLANK(F38),"-",$D$48/$F$45*F38)</f>
        <v>73791746.163600937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79084228</v>
      </c>
      <c r="E39" s="138">
        <f>IF(ISBLANK(D39),"-",$D$48/$D$45*D39)</f>
        <v>76565824.887790784</v>
      </c>
      <c r="F39" s="137">
        <v>83741223</v>
      </c>
      <c r="G39" s="139">
        <f>IF(ISBLANK(F39),"-",$D$48/$F$45*F39)</f>
        <v>74002821.680901736</v>
      </c>
      <c r="I39" s="305">
        <f>ABS((F43/D43*D42)-F42)/D42</f>
        <v>3.8156509797336292E-2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79140203</v>
      </c>
      <c r="E40" s="138">
        <f>IF(ISBLANK(D40),"-",$D$48/$D$45*D40)</f>
        <v>76620017.388071552</v>
      </c>
      <c r="F40" s="137">
        <v>83710093</v>
      </c>
      <c r="G40" s="139">
        <f>IF(ISBLANK(F40),"-",$D$48/$F$45*F40)</f>
        <v>73975311.838599488</v>
      </c>
      <c r="I40" s="305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79110048.333333328</v>
      </c>
      <c r="E42" s="148">
        <f>AVERAGE(E38:E41)</f>
        <v>76590822.983751774</v>
      </c>
      <c r="F42" s="147">
        <f>AVERAGE(F38:F41)</f>
        <v>83651229</v>
      </c>
      <c r="G42" s="149">
        <f>AVERAGE(G38:G41)</f>
        <v>73923293.227700725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10.36</v>
      </c>
      <c r="E43" s="140"/>
      <c r="F43" s="152">
        <v>11.35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10.36</v>
      </c>
      <c r="E44" s="155"/>
      <c r="F44" s="154">
        <f>F43*$B$34</f>
        <v>11.35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10.32892</v>
      </c>
      <c r="E45" s="158"/>
      <c r="F45" s="157">
        <f>F44*$B$30/100</f>
        <v>11.315950000000001</v>
      </c>
      <c r="H45" s="150"/>
    </row>
    <row r="46" spans="1:14" ht="19.5" customHeight="1" x14ac:dyDescent="0.3">
      <c r="A46" s="306" t="s">
        <v>76</v>
      </c>
      <c r="B46" s="307"/>
      <c r="C46" s="153" t="s">
        <v>77</v>
      </c>
      <c r="D46" s="159">
        <f>D45/$B$45</f>
        <v>0.1032892</v>
      </c>
      <c r="E46" s="160"/>
      <c r="F46" s="161">
        <f>F45/$B$45</f>
        <v>0.11315950000000001</v>
      </c>
      <c r="H46" s="150"/>
    </row>
    <row r="47" spans="1:14" ht="27" customHeight="1" x14ac:dyDescent="0.4">
      <c r="A47" s="308"/>
      <c r="B47" s="309"/>
      <c r="C47" s="162" t="s">
        <v>78</v>
      </c>
      <c r="D47" s="163">
        <v>0.1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75257058.105726257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1.9439635322673655E-2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Acyclovir 400mg</v>
      </c>
    </row>
    <row r="56" spans="1:12" ht="26.25" customHeight="1" x14ac:dyDescent="0.4">
      <c r="A56" s="177" t="s">
        <v>85</v>
      </c>
      <c r="B56" s="178">
        <v>400</v>
      </c>
      <c r="C56" s="99" t="str">
        <f>B20</f>
        <v>Acyclovir</v>
      </c>
      <c r="H56" s="179"/>
    </row>
    <row r="57" spans="1:12" ht="18.75" x14ac:dyDescent="0.3">
      <c r="A57" s="176" t="s">
        <v>86</v>
      </c>
      <c r="B57" s="180">
        <f>Uniformity!C46</f>
        <v>468.81150000000008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0" t="s">
        <v>92</v>
      </c>
      <c r="D60" s="313">
        <v>118.14</v>
      </c>
      <c r="E60" s="183">
        <v>1</v>
      </c>
      <c r="F60" s="184">
        <v>74018496</v>
      </c>
      <c r="G60" s="185">
        <f>IF(ISBLANK(F60),"-",(F60/$D$50*$D$47*$B$68)*($B$57/$D$60))</f>
        <v>390.2961875153407</v>
      </c>
      <c r="H60" s="186">
        <f t="shared" ref="H60:H71" si="0">IF(ISBLANK(F60),"-",G60/$B$56)</f>
        <v>0.97574046878835174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1"/>
      <c r="D61" s="314"/>
      <c r="E61" s="187">
        <v>2</v>
      </c>
      <c r="F61" s="137">
        <v>74946044</v>
      </c>
      <c r="G61" s="188">
        <f>IF(ISBLANK(F61),"-",(F61/$D$50*$D$47*$B$68)*($B$57/$D$60))</f>
        <v>395.1871062410803</v>
      </c>
      <c r="H61" s="189">
        <f t="shared" si="0"/>
        <v>0.98796776560270072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1"/>
      <c r="D62" s="314"/>
      <c r="E62" s="187">
        <v>3</v>
      </c>
      <c r="F62" s="190">
        <v>74151331</v>
      </c>
      <c r="G62" s="188">
        <f>IF(ISBLANK(F62),"-",(F62/$D$50*$D$47*$B$68)*($B$57/$D$60))</f>
        <v>390.99662047291667</v>
      </c>
      <c r="H62" s="189">
        <f t="shared" si="0"/>
        <v>0.9774915511822917</v>
      </c>
      <c r="L62" s="112"/>
    </row>
    <row r="63" spans="1:12" ht="27" customHeight="1" x14ac:dyDescent="0.4">
      <c r="A63" s="124" t="s">
        <v>95</v>
      </c>
      <c r="B63" s="125">
        <v>1</v>
      </c>
      <c r="C63" s="312"/>
      <c r="D63" s="315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0" t="s">
        <v>97</v>
      </c>
      <c r="D64" s="313">
        <v>117.11</v>
      </c>
      <c r="E64" s="183">
        <v>1</v>
      </c>
      <c r="F64" s="184">
        <v>74203849</v>
      </c>
      <c r="G64" s="193">
        <f>IF(ISBLANK(F64),"-",(F64/$D$50*$D$47*$B$68)*($B$57/$D$64))</f>
        <v>394.71485498447424</v>
      </c>
      <c r="H64" s="194">
        <f t="shared" si="0"/>
        <v>0.98678713746118563</v>
      </c>
    </row>
    <row r="65" spans="1:8" ht="26.25" customHeight="1" x14ac:dyDescent="0.4">
      <c r="A65" s="124" t="s">
        <v>98</v>
      </c>
      <c r="B65" s="125">
        <v>1</v>
      </c>
      <c r="C65" s="311"/>
      <c r="D65" s="314"/>
      <c r="E65" s="187">
        <v>2</v>
      </c>
      <c r="F65" s="137">
        <v>74074185</v>
      </c>
      <c r="G65" s="195">
        <f>IF(ISBLANK(F65),"-",(F65/$D$50*$D$47*$B$68)*($B$57/$D$64))</f>
        <v>394.02512921355486</v>
      </c>
      <c r="H65" s="196">
        <f t="shared" si="0"/>
        <v>0.98506282303388715</v>
      </c>
    </row>
    <row r="66" spans="1:8" ht="26.25" customHeight="1" x14ac:dyDescent="0.4">
      <c r="A66" s="124" t="s">
        <v>99</v>
      </c>
      <c r="B66" s="125">
        <v>1</v>
      </c>
      <c r="C66" s="311"/>
      <c r="D66" s="314"/>
      <c r="E66" s="187">
        <v>3</v>
      </c>
      <c r="F66" s="137">
        <v>74007351</v>
      </c>
      <c r="G66" s="195">
        <f>IF(ISBLANK(F66),"-",(F66/$D$50*$D$47*$B$68)*($B$57/$D$64))</f>
        <v>393.6696170268753</v>
      </c>
      <c r="H66" s="196">
        <f t="shared" si="0"/>
        <v>0.98417404256718821</v>
      </c>
    </row>
    <row r="67" spans="1:8" ht="27" customHeight="1" x14ac:dyDescent="0.4">
      <c r="A67" s="124" t="s">
        <v>100</v>
      </c>
      <c r="B67" s="125">
        <v>1</v>
      </c>
      <c r="C67" s="312"/>
      <c r="D67" s="315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101</v>
      </c>
      <c r="B68" s="199">
        <f>(B67/B66)*(B65/B64)*(B63/B62)*(B61/B60)*B59</f>
        <v>1000</v>
      </c>
      <c r="C68" s="310" t="s">
        <v>102</v>
      </c>
      <c r="D68" s="313">
        <v>120.02</v>
      </c>
      <c r="E68" s="183">
        <v>1</v>
      </c>
      <c r="F68" s="184">
        <v>75946044</v>
      </c>
      <c r="G68" s="193">
        <f>IF(ISBLANK(F68),"-",(F68/$D$50*$D$47*$B$68)*($B$57/$D$68))</f>
        <v>394.18723227268754</v>
      </c>
      <c r="H68" s="189">
        <f t="shared" si="0"/>
        <v>0.98546808068171887</v>
      </c>
    </row>
    <row r="69" spans="1:8" ht="27" customHeight="1" x14ac:dyDescent="0.4">
      <c r="A69" s="172" t="s">
        <v>103</v>
      </c>
      <c r="B69" s="200">
        <f>(D47*B68)/B56*B57</f>
        <v>117.20287500000002</v>
      </c>
      <c r="C69" s="311"/>
      <c r="D69" s="314"/>
      <c r="E69" s="187">
        <v>2</v>
      </c>
      <c r="F69" s="137">
        <v>76141944</v>
      </c>
      <c r="G69" s="195">
        <f>IF(ISBLANK(F69),"-",(F69/$D$50*$D$47*$B$68)*($B$57/$D$68))</f>
        <v>395.20402359893774</v>
      </c>
      <c r="H69" s="189">
        <f t="shared" si="0"/>
        <v>0.9880100589973444</v>
      </c>
    </row>
    <row r="70" spans="1:8" ht="26.25" customHeight="1" x14ac:dyDescent="0.4">
      <c r="A70" s="319" t="s">
        <v>76</v>
      </c>
      <c r="B70" s="320"/>
      <c r="C70" s="311"/>
      <c r="D70" s="314"/>
      <c r="E70" s="187">
        <v>3</v>
      </c>
      <c r="F70" s="137">
        <v>76237045</v>
      </c>
      <c r="G70" s="195">
        <f>IF(ISBLANK(F70),"-",(F70/$D$50*$D$47*$B$68)*($B$57/$D$68))</f>
        <v>395.69763192929889</v>
      </c>
      <c r="H70" s="189">
        <f>IF(ISBLANK(F70),"-",G70/$B$56)</f>
        <v>0.98924407982324725</v>
      </c>
    </row>
    <row r="71" spans="1:8" ht="27" customHeight="1" x14ac:dyDescent="0.4">
      <c r="A71" s="321"/>
      <c r="B71" s="322"/>
      <c r="C71" s="318"/>
      <c r="D71" s="315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0.98443844534865732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4.8084439112815883E-3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104</v>
      </c>
      <c r="B76" s="211" t="s">
        <v>105</v>
      </c>
      <c r="C76" s="323" t="str">
        <f>B20</f>
        <v>Acyclovir</v>
      </c>
      <c r="D76" s="323"/>
      <c r="E76" s="212" t="s">
        <v>106</v>
      </c>
      <c r="F76" s="212"/>
      <c r="G76" s="213">
        <f>H72</f>
        <v>0.98443844534865732</v>
      </c>
      <c r="H76" s="214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4" t="str">
        <f>B26</f>
        <v>Acyclovir</v>
      </c>
      <c r="C79" s="324"/>
    </row>
    <row r="80" spans="1:8" ht="26.25" customHeight="1" x14ac:dyDescent="0.4">
      <c r="A80" s="109" t="s">
        <v>46</v>
      </c>
      <c r="B80" s="324" t="str">
        <f>B27</f>
        <v>A32-1</v>
      </c>
      <c r="C80" s="324"/>
    </row>
    <row r="81" spans="1:12" ht="27" customHeight="1" x14ac:dyDescent="0.4">
      <c r="A81" s="109" t="s">
        <v>6</v>
      </c>
      <c r="B81" s="215">
        <f>B28</f>
        <v>99.7</v>
      </c>
    </row>
    <row r="82" spans="1:12" s="14" customFormat="1" ht="27" customHeight="1" x14ac:dyDescent="0.4">
      <c r="A82" s="109" t="s">
        <v>47</v>
      </c>
      <c r="B82" s="111">
        <v>0</v>
      </c>
      <c r="C82" s="296" t="s">
        <v>48</v>
      </c>
      <c r="D82" s="297"/>
      <c r="E82" s="297"/>
      <c r="F82" s="297"/>
      <c r="G82" s="298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299" t="s">
        <v>109</v>
      </c>
      <c r="D84" s="300"/>
      <c r="E84" s="300"/>
      <c r="F84" s="300"/>
      <c r="G84" s="300"/>
      <c r="H84" s="301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299" t="s">
        <v>110</v>
      </c>
      <c r="D85" s="300"/>
      <c r="E85" s="300"/>
      <c r="F85" s="300"/>
      <c r="G85" s="300"/>
      <c r="H85" s="3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16" t="s">
        <v>57</v>
      </c>
      <c r="E89" s="217"/>
      <c r="F89" s="302" t="s">
        <v>58</v>
      </c>
      <c r="G89" s="304"/>
    </row>
    <row r="90" spans="1:12" ht="27" customHeight="1" x14ac:dyDescent="0.4">
      <c r="A90" s="124" t="s">
        <v>59</v>
      </c>
      <c r="B90" s="125">
        <v>10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100</v>
      </c>
      <c r="C91" s="220">
        <v>1</v>
      </c>
      <c r="D91" s="132">
        <v>0.58499999999999996</v>
      </c>
      <c r="E91" s="133">
        <f>IF(ISBLANK(D91),"-",$D$101/$D$98*D91)</f>
        <v>0.75516123660556944</v>
      </c>
      <c r="F91" s="132">
        <v>0.628</v>
      </c>
      <c r="G91" s="134">
        <f>IF(ISBLANK(F91),"-",$D$101/$F$98*F91)</f>
        <v>0.73995849516243284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137">
        <v>0.58499999999999996</v>
      </c>
      <c r="E92" s="138">
        <f>IF(ISBLANK(D92),"-",$D$101/$D$98*D92)</f>
        <v>0.75516123660556944</v>
      </c>
      <c r="F92" s="137">
        <v>0.627</v>
      </c>
      <c r="G92" s="139">
        <f>IF(ISBLANK(F92),"-",$D$101/$F$98*F92)</f>
        <v>0.73878021730389387</v>
      </c>
      <c r="I92" s="305">
        <f>ABS((F96/D96*D95)-F95)/D95</f>
        <v>1.9075827295005579E-2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137">
        <v>0.58199999999999996</v>
      </c>
      <c r="E93" s="138">
        <f>IF(ISBLANK(D93),"-",$D$101/$D$98*D93)</f>
        <v>0.75128861487938703</v>
      </c>
      <c r="F93" s="137">
        <v>0.63100000000000001</v>
      </c>
      <c r="G93" s="139">
        <f>IF(ISBLANK(F93),"-",$D$101/$F$98*F93)</f>
        <v>0.74349332873804952</v>
      </c>
      <c r="I93" s="305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0.58399999999999996</v>
      </c>
      <c r="E95" s="148">
        <f>AVERAGE(E91:E94)</f>
        <v>0.75387036269684193</v>
      </c>
      <c r="F95" s="225">
        <f>AVERAGE(F91:F94)</f>
        <v>0.6286666666666666</v>
      </c>
      <c r="G95" s="226">
        <f>AVERAGE(G91:G94)</f>
        <v>0.74074401373479215</v>
      </c>
    </row>
    <row r="96" spans="1:12" ht="26.25" customHeight="1" x14ac:dyDescent="0.4">
      <c r="A96" s="124" t="s">
        <v>70</v>
      </c>
      <c r="B96" s="110">
        <v>1</v>
      </c>
      <c r="C96" s="227" t="s">
        <v>111</v>
      </c>
      <c r="D96" s="228">
        <v>10.36</v>
      </c>
      <c r="E96" s="140"/>
      <c r="F96" s="152">
        <v>11.35</v>
      </c>
    </row>
    <row r="97" spans="1:10" ht="26.25" customHeight="1" x14ac:dyDescent="0.4">
      <c r="A97" s="124" t="s">
        <v>72</v>
      </c>
      <c r="B97" s="110">
        <v>1</v>
      </c>
      <c r="C97" s="229" t="s">
        <v>112</v>
      </c>
      <c r="D97" s="230">
        <f>D96*$B$87</f>
        <v>10.36</v>
      </c>
      <c r="E97" s="155"/>
      <c r="F97" s="154">
        <f>F96*$B$87</f>
        <v>11.35</v>
      </c>
    </row>
    <row r="98" spans="1:10" ht="19.5" customHeight="1" x14ac:dyDescent="0.3">
      <c r="A98" s="124" t="s">
        <v>74</v>
      </c>
      <c r="B98" s="231">
        <f>(B97/B96)*(B95/B94)*(B93/B92)*(B91/B90)*B89</f>
        <v>1000</v>
      </c>
      <c r="C98" s="229" t="s">
        <v>113</v>
      </c>
      <c r="D98" s="232">
        <f>D97*$B$83/100</f>
        <v>10.32892</v>
      </c>
      <c r="E98" s="158"/>
      <c r="F98" s="157">
        <f>F97*$B$83/100</f>
        <v>11.315950000000001</v>
      </c>
    </row>
    <row r="99" spans="1:10" ht="19.5" customHeight="1" x14ac:dyDescent="0.3">
      <c r="A99" s="306" t="s">
        <v>76</v>
      </c>
      <c r="B99" s="316"/>
      <c r="C99" s="229" t="s">
        <v>114</v>
      </c>
      <c r="D99" s="233">
        <f>D98/$B$98</f>
        <v>1.032892E-2</v>
      </c>
      <c r="E99" s="158"/>
      <c r="F99" s="161">
        <f>F98/$B$98</f>
        <v>1.1315950000000002E-2</v>
      </c>
      <c r="G99" s="234"/>
      <c r="H99" s="150"/>
    </row>
    <row r="100" spans="1:10" ht="19.5" customHeight="1" x14ac:dyDescent="0.3">
      <c r="A100" s="308"/>
      <c r="B100" s="317"/>
      <c r="C100" s="229" t="s">
        <v>78</v>
      </c>
      <c r="D100" s="235">
        <f>$B$56/$B$116</f>
        <v>1.3333333333333332E-2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13.333333333333332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13.333333333333332</v>
      </c>
      <c r="F102" s="170"/>
      <c r="G102" s="234"/>
      <c r="H102" s="150"/>
      <c r="J102" s="239"/>
    </row>
    <row r="103" spans="1:10" ht="18.75" x14ac:dyDescent="0.3">
      <c r="C103" s="240" t="s">
        <v>115</v>
      </c>
      <c r="D103" s="241">
        <f>AVERAGE(E91:E94,G91:G94)</f>
        <v>0.74730718821581699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1.0022320868499537E-2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46" t="s">
        <v>117</v>
      </c>
      <c r="D107" s="247" t="s">
        <v>61</v>
      </c>
      <c r="E107" s="248" t="s">
        <v>118</v>
      </c>
      <c r="F107" s="249" t="s">
        <v>119</v>
      </c>
    </row>
    <row r="108" spans="1:10" ht="26.25" customHeight="1" x14ac:dyDescent="0.4">
      <c r="A108" s="124" t="s">
        <v>120</v>
      </c>
      <c r="B108" s="125">
        <v>3</v>
      </c>
      <c r="C108" s="250">
        <v>1</v>
      </c>
      <c r="D108" s="326">
        <v>0.67500000000000004</v>
      </c>
      <c r="E108" s="251">
        <f t="shared" ref="E108:E113" si="1">IF(ISBLANK(D108),"-",D108/$D$103*$D$100*$B$116)</f>
        <v>361.29720716941097</v>
      </c>
      <c r="F108" s="252">
        <f t="shared" ref="F108:F113" si="2">IF(ISBLANK(D108), "-", E108/$B$56)</f>
        <v>0.90324301792352746</v>
      </c>
    </row>
    <row r="109" spans="1:10" ht="26.25" customHeight="1" x14ac:dyDescent="0.4">
      <c r="A109" s="124" t="s">
        <v>93</v>
      </c>
      <c r="B109" s="125">
        <v>100</v>
      </c>
      <c r="C109" s="250">
        <v>2</v>
      </c>
      <c r="D109" s="326">
        <v>0.67500000000000004</v>
      </c>
      <c r="E109" s="253">
        <f t="shared" si="1"/>
        <v>361.29720716941097</v>
      </c>
      <c r="F109" s="254">
        <f t="shared" si="2"/>
        <v>0.90324301792352746</v>
      </c>
    </row>
    <row r="110" spans="1:10" ht="26.25" customHeight="1" x14ac:dyDescent="0.4">
      <c r="A110" s="124" t="s">
        <v>94</v>
      </c>
      <c r="B110" s="125">
        <v>1</v>
      </c>
      <c r="C110" s="250">
        <v>3</v>
      </c>
      <c r="D110" s="326">
        <v>0.68600000000000005</v>
      </c>
      <c r="E110" s="253">
        <f t="shared" si="1"/>
        <v>367.18501350846805</v>
      </c>
      <c r="F110" s="254">
        <f t="shared" si="2"/>
        <v>0.9179625337711701</v>
      </c>
    </row>
    <row r="111" spans="1:10" ht="26.25" customHeight="1" x14ac:dyDescent="0.4">
      <c r="A111" s="124" t="s">
        <v>95</v>
      </c>
      <c r="B111" s="125">
        <v>1</v>
      </c>
      <c r="C111" s="250">
        <v>4</v>
      </c>
      <c r="D111" s="326">
        <v>0.71299999999999997</v>
      </c>
      <c r="E111" s="253">
        <f t="shared" si="1"/>
        <v>381.63690179524446</v>
      </c>
      <c r="F111" s="254">
        <f t="shared" si="2"/>
        <v>0.95409225448811119</v>
      </c>
    </row>
    <row r="112" spans="1:10" ht="26.25" customHeight="1" x14ac:dyDescent="0.4">
      <c r="A112" s="124" t="s">
        <v>96</v>
      </c>
      <c r="B112" s="125">
        <v>1</v>
      </c>
      <c r="C112" s="250">
        <v>5</v>
      </c>
      <c r="D112" s="326">
        <v>0.66900000000000004</v>
      </c>
      <c r="E112" s="253">
        <f t="shared" si="1"/>
        <v>358.08567643901625</v>
      </c>
      <c r="F112" s="254">
        <f t="shared" si="2"/>
        <v>0.89521419109754063</v>
      </c>
    </row>
    <row r="113" spans="1:10" ht="26.25" customHeight="1" x14ac:dyDescent="0.4">
      <c r="A113" s="124" t="s">
        <v>98</v>
      </c>
      <c r="B113" s="125">
        <v>1</v>
      </c>
      <c r="C113" s="255">
        <v>6</v>
      </c>
      <c r="D113" s="327">
        <v>0.71099999999999997</v>
      </c>
      <c r="E113" s="256">
        <f t="shared" si="1"/>
        <v>380.56639155177947</v>
      </c>
      <c r="F113" s="257">
        <f>IF(ISBLANK(D113), "-", E113/$B$56)</f>
        <v>0.95141597887944873</v>
      </c>
    </row>
    <row r="114" spans="1:10" ht="26.25" customHeight="1" x14ac:dyDescent="0.4">
      <c r="A114" s="124" t="s">
        <v>99</v>
      </c>
      <c r="B114" s="125">
        <v>1</v>
      </c>
      <c r="C114" s="250"/>
      <c r="D114" s="203"/>
      <c r="E114" s="98"/>
      <c r="F114" s="258"/>
    </row>
    <row r="115" spans="1:10" ht="26.25" customHeight="1" x14ac:dyDescent="0.4">
      <c r="A115" s="124" t="s">
        <v>100</v>
      </c>
      <c r="B115" s="125">
        <v>1</v>
      </c>
      <c r="C115" s="250"/>
      <c r="D115" s="259"/>
      <c r="E115" s="260" t="s">
        <v>69</v>
      </c>
      <c r="F115" s="261">
        <f>AVERAGE(F108:F113)</f>
        <v>0.92086183234722097</v>
      </c>
    </row>
    <row r="116" spans="1:10" ht="27" customHeight="1" x14ac:dyDescent="0.4">
      <c r="A116" s="124" t="s">
        <v>101</v>
      </c>
      <c r="B116" s="156">
        <f>(B115/B114)*(B113/B112)*(B111/B110)*(B109/B108)*B107</f>
        <v>30000.000000000004</v>
      </c>
      <c r="C116" s="262"/>
      <c r="D116" s="263"/>
      <c r="E116" s="223" t="s">
        <v>82</v>
      </c>
      <c r="F116" s="264">
        <f>STDEV(F108:F113)/F115</f>
        <v>2.8003210645791077E-2</v>
      </c>
      <c r="I116" s="98"/>
    </row>
    <row r="117" spans="1:10" ht="27" customHeight="1" x14ac:dyDescent="0.4">
      <c r="A117" s="306" t="s">
        <v>76</v>
      </c>
      <c r="B117" s="307"/>
      <c r="C117" s="265"/>
      <c r="D117" s="266"/>
      <c r="E117" s="267" t="s">
        <v>20</v>
      </c>
      <c r="F117" s="268">
        <f>COUNT(F108:F113)</f>
        <v>6</v>
      </c>
      <c r="I117" s="98"/>
      <c r="J117" s="243"/>
    </row>
    <row r="118" spans="1:10" ht="19.5" customHeight="1" x14ac:dyDescent="0.3">
      <c r="A118" s="308"/>
      <c r="B118" s="309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7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11" t="s">
        <v>121</v>
      </c>
      <c r="C120" s="323" t="str">
        <f>B20</f>
        <v>Acyclovir</v>
      </c>
      <c r="D120" s="323"/>
      <c r="E120" s="212" t="s">
        <v>122</v>
      </c>
      <c r="F120" s="212"/>
      <c r="G120" s="213">
        <f>F115</f>
        <v>0.92086183234722097</v>
      </c>
      <c r="H120" s="98"/>
      <c r="I120" s="98"/>
    </row>
    <row r="121" spans="1:10" ht="19.5" customHeight="1" x14ac:dyDescent="0.3">
      <c r="A121" s="269"/>
      <c r="B121" s="269"/>
      <c r="C121" s="270"/>
      <c r="D121" s="270"/>
      <c r="E121" s="270"/>
      <c r="F121" s="270"/>
      <c r="G121" s="270"/>
      <c r="H121" s="270"/>
    </row>
    <row r="122" spans="1:10" ht="18.75" x14ac:dyDescent="0.3">
      <c r="B122" s="325" t="s">
        <v>26</v>
      </c>
      <c r="C122" s="325"/>
      <c r="E122" s="218" t="s">
        <v>27</v>
      </c>
      <c r="F122" s="271"/>
      <c r="G122" s="325" t="s">
        <v>28</v>
      </c>
      <c r="H122" s="325"/>
    </row>
    <row r="123" spans="1:10" ht="18.75" x14ac:dyDescent="0.3">
      <c r="A123" s="272" t="s">
        <v>29</v>
      </c>
      <c r="B123" s="273"/>
      <c r="C123" s="273"/>
      <c r="E123" s="273"/>
      <c r="F123" s="98"/>
      <c r="G123" s="274"/>
      <c r="H123" s="274"/>
    </row>
    <row r="124" spans="1:10" ht="18.75" x14ac:dyDescent="0.3">
      <c r="A124" s="272" t="s">
        <v>30</v>
      </c>
      <c r="B124" s="275"/>
      <c r="C124" s="275"/>
      <c r="E124" s="275"/>
      <c r="F124" s="98"/>
      <c r="G124" s="276"/>
      <c r="H124" s="276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Acyclovir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2015-06-17T12:57:20Z</dcterms:modified>
</cp:coreProperties>
</file>