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6" windowHeight="7752" activeTab="3"/>
  </bookViews>
  <sheets>
    <sheet name="SST" sheetId="1" r:id="rId1"/>
    <sheet name="Uniformity 1" sheetId="2" r:id="rId2"/>
    <sheet name=" diclofenac acid stage" sheetId="4" r:id="rId3"/>
    <sheet name="Diclofenac (2) buffer stage" sheetId="8" r:id="rId4"/>
    <sheet name="cataflam assay" sheetId="9" r:id="rId5"/>
  </sheets>
  <definedNames>
    <definedName name="_xlnm.Print_Area" localSheetId="2">' diclofenac acid stage'!$A$78:$H$127</definedName>
    <definedName name="_xlnm.Print_Area" localSheetId="4">'cataflam assay'!$A$1:$H$81</definedName>
    <definedName name="_xlnm.Print_Area" localSheetId="3">'Diclofenac (2) buffer stage'!$A$77:$H$125</definedName>
    <definedName name="_xlnm.Print_Area" localSheetId="1">'Uniformity 1'!$A$1:$E$52</definedName>
  </definedNames>
  <calcPr calcId="145621"/>
</workbook>
</file>

<file path=xl/calcChain.xml><?xml version="1.0" encoding="utf-8"?>
<calcChain xmlns="http://schemas.openxmlformats.org/spreadsheetml/2006/main">
  <c r="E91" i="8" l="1"/>
  <c r="D103" i="8"/>
  <c r="D102" i="8"/>
  <c r="D100" i="8"/>
  <c r="D101" i="8" s="1"/>
  <c r="F97" i="8"/>
  <c r="D97" i="8"/>
  <c r="B87" i="8"/>
  <c r="G61" i="9"/>
  <c r="B21" i="1"/>
  <c r="B30" i="1" l="1"/>
  <c r="B77" i="9"/>
  <c r="F46" i="9" l="1"/>
  <c r="D46" i="9"/>
  <c r="F44" i="9"/>
  <c r="D45" i="9"/>
  <c r="D44" i="9"/>
  <c r="H64" i="9"/>
  <c r="H68" i="9"/>
  <c r="H72" i="9"/>
  <c r="B57" i="9"/>
  <c r="E22" i="2"/>
  <c r="B42" i="1"/>
  <c r="G72" i="9" l="1"/>
  <c r="B69" i="9"/>
  <c r="D47" i="9" s="1"/>
  <c r="D48" i="9" s="1"/>
  <c r="G68" i="9"/>
  <c r="G64" i="9"/>
  <c r="E58" i="9"/>
  <c r="B55" i="9"/>
  <c r="B45" i="9"/>
  <c r="F42" i="9"/>
  <c r="D42" i="9"/>
  <c r="G41" i="9"/>
  <c r="E41" i="9"/>
  <c r="B34" i="9"/>
  <c r="B30" i="9"/>
  <c r="G38" i="9" l="1"/>
  <c r="D49" i="9"/>
  <c r="F45" i="9"/>
  <c r="E38" i="9" l="1"/>
  <c r="E39" i="9"/>
  <c r="E40" i="9"/>
  <c r="E42" i="9"/>
  <c r="G39" i="9"/>
  <c r="G40" i="9"/>
  <c r="D50" i="9" l="1"/>
  <c r="H61" i="9" s="1"/>
  <c r="G65" i="9"/>
  <c r="H65" i="9" s="1"/>
  <c r="G42" i="9"/>
  <c r="D52" i="9"/>
  <c r="D51" i="9" l="1"/>
  <c r="G70" i="9"/>
  <c r="H70" i="9" s="1"/>
  <c r="G67" i="9"/>
  <c r="H67" i="9" s="1"/>
  <c r="G62" i="9"/>
  <c r="H62" i="9" s="1"/>
  <c r="G71" i="9"/>
  <c r="H71" i="9" s="1"/>
  <c r="G66" i="9"/>
  <c r="H66" i="9" s="1"/>
  <c r="G63" i="9"/>
  <c r="H63" i="9" s="1"/>
  <c r="G69" i="9"/>
  <c r="H69" i="9" s="1"/>
  <c r="E30" i="1"/>
  <c r="C120" i="8"/>
  <c r="B116" i="8"/>
  <c r="B98" i="8"/>
  <c r="F95" i="8"/>
  <c r="D95" i="8"/>
  <c r="I92" i="8" s="1"/>
  <c r="G94" i="8"/>
  <c r="E94" i="8"/>
  <c r="B81" i="8"/>
  <c r="B83" i="8" s="1"/>
  <c r="B80" i="8"/>
  <c r="B79" i="8"/>
  <c r="C76" i="8"/>
  <c r="H71" i="8"/>
  <c r="G71" i="8"/>
  <c r="H70" i="8"/>
  <c r="G70" i="8"/>
  <c r="B68" i="8"/>
  <c r="B69" i="8" s="1"/>
  <c r="H67" i="8"/>
  <c r="G67" i="8"/>
  <c r="H66" i="8"/>
  <c r="G66" i="8"/>
  <c r="H65" i="8"/>
  <c r="G65" i="8"/>
  <c r="H64" i="8"/>
  <c r="G64" i="8"/>
  <c r="H63" i="8"/>
  <c r="G63" i="8"/>
  <c r="C56" i="8"/>
  <c r="B55" i="8"/>
  <c r="B45" i="8"/>
  <c r="D48" i="8" s="1"/>
  <c r="F42" i="8"/>
  <c r="D42" i="8"/>
  <c r="G41" i="8"/>
  <c r="E41" i="8"/>
  <c r="D44" i="8"/>
  <c r="B30" i="8"/>
  <c r="F44" i="8" l="1"/>
  <c r="F45" i="8" s="1"/>
  <c r="F46" i="8" s="1"/>
  <c r="H73" i="9"/>
  <c r="H74" i="9"/>
  <c r="H75" i="9"/>
  <c r="D45" i="8"/>
  <c r="D46" i="8" s="1"/>
  <c r="I39" i="8"/>
  <c r="E38" i="8"/>
  <c r="G39" i="8"/>
  <c r="G40" i="8"/>
  <c r="D49" i="8"/>
  <c r="E40" i="8"/>
  <c r="G38" i="8"/>
  <c r="E39" i="8"/>
  <c r="F98" i="8"/>
  <c r="F99" i="8" s="1"/>
  <c r="D98" i="8"/>
  <c r="D99" i="8" s="1"/>
  <c r="C120" i="4"/>
  <c r="B116" i="4"/>
  <c r="D100" i="4" s="1"/>
  <c r="B98" i="4"/>
  <c r="F95" i="4"/>
  <c r="D95" i="4"/>
  <c r="I92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D51" i="1"/>
  <c r="C51" i="1"/>
  <c r="B51" i="1"/>
  <c r="B52" i="1" s="1"/>
  <c r="B32" i="1"/>
  <c r="D30" i="1"/>
  <c r="C30" i="1"/>
  <c r="B31" i="1"/>
  <c r="F77" i="9" l="1"/>
  <c r="G91" i="8"/>
  <c r="G42" i="8"/>
  <c r="E93" i="8"/>
  <c r="G92" i="8"/>
  <c r="E92" i="8"/>
  <c r="D52" i="8"/>
  <c r="D50" i="8"/>
  <c r="E42" i="8"/>
  <c r="G93" i="8"/>
  <c r="F97" i="4"/>
  <c r="D101" i="4"/>
  <c r="D42" i="2"/>
  <c r="B69" i="4"/>
  <c r="F45" i="4"/>
  <c r="G38" i="4" s="1"/>
  <c r="I39" i="4"/>
  <c r="D49" i="4"/>
  <c r="G41" i="4"/>
  <c r="F98" i="4"/>
  <c r="F99" i="4" s="1"/>
  <c r="D98" i="4"/>
  <c r="D99" i="4" s="1"/>
  <c r="D102" i="4"/>
  <c r="G94" i="4"/>
  <c r="D43" i="2"/>
  <c r="D44" i="4"/>
  <c r="D45" i="4" s="1"/>
  <c r="D46" i="4" s="1"/>
  <c r="G95" i="8" l="1"/>
  <c r="F46" i="4"/>
  <c r="E95" i="8"/>
  <c r="D105" i="8"/>
  <c r="G68" i="8"/>
  <c r="H68" i="8" s="1"/>
  <c r="G69" i="8"/>
  <c r="H69" i="8" s="1"/>
  <c r="G62" i="8"/>
  <c r="H62" i="8" s="1"/>
  <c r="G60" i="8"/>
  <c r="D51" i="8"/>
  <c r="G61" i="8"/>
  <c r="H61" i="8" s="1"/>
  <c r="G91" i="4"/>
  <c r="G40" i="4"/>
  <c r="E92" i="4"/>
  <c r="G92" i="4"/>
  <c r="G93" i="4"/>
  <c r="E91" i="4"/>
  <c r="G39" i="4"/>
  <c r="C48" i="2"/>
  <c r="D47" i="2"/>
  <c r="E26" i="2"/>
  <c r="E34" i="2"/>
  <c r="E24" i="2"/>
  <c r="C47" i="2"/>
  <c r="E38" i="2"/>
  <c r="E30" i="2"/>
  <c r="D48" i="2"/>
  <c r="B47" i="2"/>
  <c r="E40" i="2"/>
  <c r="E36" i="2"/>
  <c r="E32" i="2"/>
  <c r="E28" i="2"/>
  <c r="E39" i="4"/>
  <c r="E37" i="2"/>
  <c r="E27" i="2"/>
  <c r="E21" i="2"/>
  <c r="E38" i="4"/>
  <c r="E33" i="2"/>
  <c r="E39" i="2"/>
  <c r="E23" i="2"/>
  <c r="E94" i="4"/>
  <c r="E93" i="4"/>
  <c r="E29" i="2"/>
  <c r="E35" i="2"/>
  <c r="E40" i="4"/>
  <c r="E41" i="4"/>
  <c r="E25" i="2"/>
  <c r="E31" i="2"/>
  <c r="G42" i="4" l="1"/>
  <c r="H60" i="8"/>
  <c r="G74" i="8"/>
  <c r="G72" i="8"/>
  <c r="G73" i="8" s="1"/>
  <c r="E112" i="8"/>
  <c r="F112" i="8" s="1"/>
  <c r="E110" i="8"/>
  <c r="F110" i="8" s="1"/>
  <c r="E108" i="8"/>
  <c r="E111" i="8"/>
  <c r="F111" i="8" s="1"/>
  <c r="E109" i="8"/>
  <c r="F109" i="8" s="1"/>
  <c r="E113" i="8"/>
  <c r="F113" i="8" s="1"/>
  <c r="D104" i="8"/>
  <c r="D103" i="4"/>
  <c r="E113" i="4" s="1"/>
  <c r="F113" i="4" s="1"/>
  <c r="G95" i="4"/>
  <c r="E95" i="4"/>
  <c r="D105" i="4"/>
  <c r="E110" i="4"/>
  <c r="F110" i="4" s="1"/>
  <c r="D50" i="4"/>
  <c r="E42" i="4"/>
  <c r="D52" i="4"/>
  <c r="E108" i="4" l="1"/>
  <c r="F108" i="4" s="1"/>
  <c r="H74" i="8"/>
  <c r="H72" i="8"/>
  <c r="E115" i="8"/>
  <c r="E116" i="8" s="1"/>
  <c r="E117" i="8"/>
  <c r="F108" i="8"/>
  <c r="E112" i="4"/>
  <c r="F112" i="4" s="1"/>
  <c r="D104" i="4"/>
  <c r="E109" i="4"/>
  <c r="F109" i="4" s="1"/>
  <c r="E111" i="4"/>
  <c r="F11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F117" i="8" l="1"/>
  <c r="F115" i="8"/>
  <c r="G76" i="8"/>
  <c r="H73" i="8"/>
  <c r="E115" i="4"/>
  <c r="E116" i="4" s="1"/>
  <c r="E117" i="4"/>
  <c r="H60" i="4"/>
  <c r="G74" i="4"/>
  <c r="G72" i="4"/>
  <c r="G73" i="4" s="1"/>
  <c r="F117" i="4"/>
  <c r="F115" i="4"/>
  <c r="G120" i="8" l="1"/>
  <c r="F116" i="8"/>
  <c r="G120" i="4"/>
  <c r="F116" i="4"/>
  <c r="H74" i="4"/>
  <c r="H72" i="4"/>
  <c r="G76" i="4" l="1"/>
  <c r="H73" i="4"/>
</calcChain>
</file>

<file path=xl/sharedStrings.xml><?xml version="1.0" encoding="utf-8"?>
<sst xmlns="http://schemas.openxmlformats.org/spreadsheetml/2006/main" count="493" uniqueCount="157">
  <si>
    <t>HPLC System Suitability Report</t>
  </si>
  <si>
    <t>Analysis Data</t>
  </si>
  <si>
    <t>Assay</t>
  </si>
  <si>
    <t>Sample(s)</t>
  </si>
  <si>
    <t>Reference Substance:</t>
  </si>
  <si>
    <t>CATAFLAM LIQUID CAPSULES</t>
  </si>
  <si>
    <t>% age Purity:</t>
  </si>
  <si>
    <t>NDQD201505223</t>
  </si>
  <si>
    <t>Weight (mg):</t>
  </si>
  <si>
    <t>Standard Conc (mg/mL):</t>
  </si>
  <si>
    <t>Each capsule contains: Diclofenac Potassium 50mg</t>
  </si>
  <si>
    <t>2015-05-08 10:00:55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</si>
  <si>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</si>
  <si>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</si>
  <si>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</si>
  <si>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</si>
  <si>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</si>
  <si>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</si>
  <si>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</si>
  <si>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</si>
  <si>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</si>
  <si>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</si>
  <si>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</si>
  <si>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</si>
  <si>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</si>
  <si>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</si>
  <si>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</si>
  <si>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</si>
  <si>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</si>
  <si>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</si>
  <si>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</si>
  <si>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</si>
  <si>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</si>
  <si>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</si>
  <si>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</si>
  <si>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</si>
  <si>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</si>
  <si>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</si>
  <si>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2016-01-11 11:45:00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</si>
  <si>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</si>
  <si>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</si>
  <si>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</si>
  <si>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</si>
  <si>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</si>
  <si>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</si>
  <si>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</si>
  <si>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</si>
  <si>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</si>
  <si>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</si>
  <si>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</si>
  <si>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</si>
  <si>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</si>
  <si>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</si>
  <si>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</si>
  <si>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</si>
  <si>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</si>
  <si>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</si>
  <si>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</si>
  <si>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</si>
  <si>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</si>
  <si>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</si>
  <si>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</si>
  <si>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</si>
  <si>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</si>
  <si>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</si>
  <si>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</si>
  <si>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</si>
  <si>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</si>
  <si>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</si>
  <si>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</si>
  <si>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</si>
  <si>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</si>
  <si>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</si>
  <si>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</si>
  <si>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</si>
  <si>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</si>
  <si>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</si>
  <si>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</si>
  <si>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</si>
  <si>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</si>
  <si>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</si>
  <si>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</si>
  <si>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</si>
  <si>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</si>
  <si>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</si>
  <si>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</si>
  <si>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</si>
  <si>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</si>
  <si>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</si>
  <si>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</si>
  <si>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</si>
  <si>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</si>
  <si>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</si>
  <si>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</si>
  <si>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</si>
  <si>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</si>
  <si>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</si>
  <si>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</si>
  <si>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</si>
  <si>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</si>
  <si>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</si>
  <si>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</si>
  <si>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</si>
  <si>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</si>
  <si>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</si>
  <si>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</si>
  <si>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</si>
  <si>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</si>
  <si>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</si>
  <si>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</si>
  <si>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</si>
  <si>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</si>
  <si>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</si>
  <si>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</si>
  <si>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</si>
  <si>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</si>
  <si>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</si>
  <si>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</si>
  <si>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</si>
  <si>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</si>
  <si>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</si>
  <si>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</si>
  <si>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</si>
  <si>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</si>
  <si>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</si>
  <si>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</si>
  <si>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</si>
  <si>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Diclofenac Potassium </t>
  </si>
  <si>
    <t>D6 6</t>
  </si>
  <si>
    <t>Diclofenac Sodium</t>
  </si>
  <si>
    <t>If correction for water content is NOT needed, enter 0</t>
  </si>
  <si>
    <t>Initial Standard dilution (mL):</t>
  </si>
  <si>
    <t>Each</t>
  </si>
  <si>
    <t>contains</t>
  </si>
  <si>
    <t>Initial Sample dilution (mL):</t>
  </si>
  <si>
    <t>Each capsule contains: Diclofenac Potassium 50 mg</t>
  </si>
  <si>
    <t>Diclofenac Potassium</t>
  </si>
  <si>
    <t>Mwt Diclofenac Potassium:</t>
  </si>
  <si>
    <t>Each capsule contains free Diclofenac:</t>
  </si>
  <si>
    <t>1 mg of Diclofenac Sodium is equivalent to</t>
  </si>
  <si>
    <t>free Diclofenac</t>
  </si>
  <si>
    <t>Mwt of Diclofenac Sodium:</t>
  </si>
  <si>
    <t xml:space="preserve"> Mwt of compound in free Diclofenac:</t>
  </si>
  <si>
    <t>Desired Free Diclofenac Conc. (mg/mL):</t>
  </si>
  <si>
    <t>Sample Units</t>
  </si>
  <si>
    <t>Amt of RS as free Diclofenac (mg):</t>
  </si>
  <si>
    <t>Desired Weight as free Diclofenac (mg):</t>
  </si>
  <si>
    <t>Determination of Diclofenac K Content in Sample</t>
  </si>
  <si>
    <t>Free Diclofenac Concentration (mg/mL):</t>
  </si>
  <si>
    <t>Desired Sample Units (Capsules):</t>
  </si>
  <si>
    <t xml:space="preserve">Diclofenac Sodium </t>
  </si>
  <si>
    <t>Free Diclofenac Amt (mg)</t>
  </si>
  <si>
    <r>
      <t>The Assymetry of all peaks is</t>
    </r>
    <r>
      <rPr>
        <b/>
        <sz val="12"/>
        <color rgb="FF000000"/>
        <rFont val="Book Antiqua"/>
        <family val="1"/>
      </rPr>
      <t xml:space="preserve"> </t>
    </r>
    <r>
      <rPr>
        <b/>
        <u/>
        <sz val="12"/>
        <color rgb="FF000000"/>
        <rFont val="Book Antiqua"/>
        <family val="1"/>
      </rPr>
      <t>&gt;</t>
    </r>
    <r>
      <rPr>
        <b/>
        <sz val="12"/>
        <color rgb="FF000000"/>
        <rFont val="Book Antiqua"/>
        <family val="1"/>
      </rPr>
      <t xml:space="preserve"> 0.8</t>
    </r>
    <r>
      <rPr>
        <sz val="12"/>
        <color rgb="FF000000"/>
        <rFont val="Book Antiqua"/>
        <family val="1"/>
      </rPr>
      <t xml:space="preserve"> but </t>
    </r>
    <r>
      <rPr>
        <b/>
        <u/>
        <sz val="12"/>
        <color rgb="FF000000"/>
        <rFont val="Book Antiqua"/>
        <family val="1"/>
      </rPr>
      <t>&lt;</t>
    </r>
    <r>
      <rPr>
        <b/>
        <sz val="12"/>
        <color rgb="FF000000"/>
        <rFont val="Book Antiqua"/>
        <family val="1"/>
      </rPr>
      <t xml:space="preserve"> 1.5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</si>
  <si>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4000</t>
    </r>
  </si>
  <si>
    <t>Free Diclofenac Released (mg):</t>
  </si>
  <si>
    <t>Each Capsule contains</t>
  </si>
  <si>
    <t>Each capsule equivalent free Diclofenac: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</si>
</sst>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\ &quot;mg&quot;"/>
    <numFmt numFmtId="174" formatCode="0.000000"/>
    <numFmt numFmtId="175" formatCode="0\ &quot;capsule&quot;"/>
    <numFmt numFmtId="176" formatCode="0.00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6" fillId="2" borderId="0"/>
    <xf numFmtId="0" fontId="27" fillId="2" borderId="0"/>
    <xf numFmtId="9" fontId="28" fillId="0" borderId="0" applyFont="0" applyFill="0" applyBorder="0" applyAlignment="0" applyProtection="0"/>
  </cellStyleXfs>
  <cellXfs count="4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64" fontId="2" fillId="2" borderId="0" xfId="0" applyNumberFormat="1" applyFont="1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1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2" fillId="2" borderId="32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3" fillId="3" borderId="39" xfId="0" applyFont="1" applyFill="1" applyBorder="1" applyAlignment="1" applyProtection="1">
      <alignment horizontal="center"/>
      <protection locked="0"/>
    </xf>
    <xf numFmtId="171" fontId="11" fillId="2" borderId="36" xfId="0" applyNumberFormat="1" applyFont="1" applyFill="1" applyBorder="1" applyAlignment="1">
      <alignment horizontal="center"/>
    </xf>
    <xf numFmtId="171" fontId="11" fillId="2" borderId="40" xfId="0" applyNumberFormat="1" applyFont="1" applyFill="1" applyBorder="1" applyAlignment="1">
      <alignment horizontal="center"/>
    </xf>
    <xf numFmtId="0" fontId="18" fillId="2" borderId="29" xfId="0" applyFont="1" applyFill="1" applyBorder="1"/>
    <xf numFmtId="0" fontId="11" fillId="2" borderId="34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71" fontId="11" fillId="2" borderId="41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71" fontId="11" fillId="2" borderId="44" xfId="0" applyNumberFormat="1" applyFont="1" applyFill="1" applyBorder="1" applyAlignment="1">
      <alignment horizontal="center"/>
    </xf>
    <xf numFmtId="171" fontId="11" fillId="2" borderId="45" xfId="0" applyNumberFormat="1" applyFont="1" applyFill="1" applyBorder="1" applyAlignment="1">
      <alignment horizontal="center"/>
    </xf>
    <xf numFmtId="0" fontId="11" fillId="2" borderId="30" xfId="0" applyFont="1" applyFill="1" applyBorder="1"/>
    <xf numFmtId="0" fontId="11" fillId="2" borderId="34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6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8" xfId="0" applyFont="1" applyFill="1" applyBorder="1" applyAlignment="1">
      <alignment horizontal="right"/>
    </xf>
    <xf numFmtId="0" fontId="13" fillId="3" borderId="2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3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2" fontId="11" fillId="6" borderId="30" xfId="0" applyNumberFormat="1" applyFont="1" applyFill="1" applyBorder="1" applyAlignment="1">
      <alignment horizontal="center"/>
    </xf>
    <xf numFmtId="171" fontId="12" fillId="7" borderId="29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7" borderId="30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29" xfId="0" applyNumberFormat="1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3" fillId="3" borderId="31" xfId="0" applyFont="1" applyFill="1" applyBorder="1" applyAlignment="1" applyProtection="1">
      <alignment horizontal="center"/>
      <protection locked="0"/>
    </xf>
    <xf numFmtId="10" fontId="11" fillId="2" borderId="29" xfId="0" applyNumberFormat="1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/>
    </xf>
    <xf numFmtId="10" fontId="11" fillId="2" borderId="51" xfId="0" applyNumberFormat="1" applyFont="1" applyFill="1" applyBorder="1" applyAlignment="1">
      <alignment horizontal="center" vertical="center"/>
    </xf>
    <xf numFmtId="1" fontId="13" fillId="3" borderId="33" xfId="0" applyNumberFormat="1" applyFont="1" applyFill="1" applyBorder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13" fillId="3" borderId="50" xfId="0" applyFont="1" applyFill="1" applyBorder="1" applyAlignment="1" applyProtection="1">
      <alignment horizontal="center"/>
      <protection locked="0"/>
    </xf>
    <xf numFmtId="10" fontId="11" fillId="2" borderId="32" xfId="0" applyNumberFormat="1" applyFont="1" applyFill="1" applyBorder="1" applyAlignment="1">
      <alignment horizontal="center" vertical="center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52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/>
    </xf>
    <xf numFmtId="2" fontId="14" fillId="2" borderId="52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54" xfId="0" applyNumberFormat="1" applyFont="1" applyFill="1" applyBorder="1" applyAlignment="1">
      <alignment horizontal="center"/>
    </xf>
    <xf numFmtId="1" fontId="12" fillId="6" borderId="55" xfId="0" applyNumberFormat="1" applyFont="1" applyFill="1" applyBorder="1" applyAlignment="1">
      <alignment horizontal="center"/>
    </xf>
    <xf numFmtId="171" fontId="12" fillId="6" borderId="30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2" fontId="11" fillId="6" borderId="3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7" xfId="0" applyNumberFormat="1" applyFont="1" applyFill="1" applyBorder="1" applyAlignment="1">
      <alignment horizontal="center"/>
    </xf>
    <xf numFmtId="166" fontId="11" fillId="6" borderId="3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6" xfId="0" applyFont="1" applyFill="1" applyBorder="1" applyAlignment="1">
      <alignment horizontal="right"/>
    </xf>
    <xf numFmtId="2" fontId="11" fillId="7" borderId="4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6" xfId="0" applyFont="1" applyFill="1" applyBorder="1" applyAlignment="1">
      <alignment horizontal="right"/>
    </xf>
    <xf numFmtId="171" fontId="12" fillId="7" borderId="2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 wrapText="1"/>
    </xf>
    <xf numFmtId="0" fontId="11" fillId="2" borderId="33" xfId="0" applyFont="1" applyFill="1" applyBorder="1" applyAlignment="1">
      <alignment horizontal="center"/>
    </xf>
    <xf numFmtId="1" fontId="13" fillId="3" borderId="41" xfId="0" applyNumberFormat="1" applyFont="1" applyFill="1" applyBorder="1" applyAlignment="1" applyProtection="1">
      <alignment horizontal="center"/>
      <protection locked="0"/>
    </xf>
    <xf numFmtId="10" fontId="11" fillId="2" borderId="40" xfId="0" applyNumberFormat="1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" fontId="13" fillId="3" borderId="44" xfId="0" applyNumberFormat="1" applyFont="1" applyFill="1" applyBorder="1" applyAlignment="1" applyProtection="1">
      <alignment horizontal="center"/>
      <protection locked="0"/>
    </xf>
    <xf numFmtId="10" fontId="11" fillId="2" borderId="45" xfId="0" applyNumberFormat="1" applyFont="1" applyFill="1" applyBorder="1" applyAlignment="1">
      <alignment horizontal="center"/>
    </xf>
    <xf numFmtId="2" fontId="11" fillId="2" borderId="3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7" xfId="0" applyNumberFormat="1" applyFont="1" applyFill="1" applyBorder="1" applyAlignment="1">
      <alignment horizontal="center"/>
    </xf>
    <xf numFmtId="0" fontId="11" fillId="2" borderId="33" xfId="0" applyFont="1" applyFill="1" applyBorder="1"/>
    <xf numFmtId="10" fontId="13" fillId="6" borderId="37" xfId="0" applyNumberFormat="1" applyFont="1" applyFill="1" applyBorder="1" applyAlignment="1">
      <alignment horizontal="center"/>
    </xf>
    <xf numFmtId="0" fontId="11" fillId="2" borderId="50" xfId="0" applyFont="1" applyFill="1" applyBorder="1"/>
    <xf numFmtId="0" fontId="11" fillId="2" borderId="58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1" xfId="0" applyNumberFormat="1" applyFont="1" applyFill="1" applyBorder="1" applyAlignment="1">
      <alignment horizontal="center"/>
    </xf>
    <xf numFmtId="166" fontId="11" fillId="2" borderId="33" xfId="0" applyNumberFormat="1" applyFont="1" applyFill="1" applyBorder="1" applyAlignment="1">
      <alignment horizontal="center"/>
    </xf>
    <xf numFmtId="166" fontId="11" fillId="2" borderId="29" xfId="0" applyNumberFormat="1" applyFont="1" applyFill="1" applyBorder="1" applyAlignment="1">
      <alignment horizontal="center"/>
    </xf>
    <xf numFmtId="166" fontId="11" fillId="2" borderId="51" xfId="0" applyNumberFormat="1" applyFont="1" applyFill="1" applyBorder="1" applyAlignment="1">
      <alignment horizontal="center"/>
    </xf>
    <xf numFmtId="166" fontId="11" fillId="2" borderId="30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6" xfId="0" applyNumberFormat="1" applyFont="1" applyFill="1" applyBorder="1" applyAlignment="1">
      <alignment horizontal="center"/>
    </xf>
    <xf numFmtId="166" fontId="11" fillId="2" borderId="41" xfId="0" applyNumberFormat="1" applyFont="1" applyFill="1" applyBorder="1" applyAlignment="1">
      <alignment horizontal="center"/>
    </xf>
    <xf numFmtId="166" fontId="11" fillId="2" borderId="44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8" xfId="0" applyFont="1" applyFill="1" applyBorder="1" applyAlignment="1">
      <alignment horizontal="center"/>
    </xf>
    <xf numFmtId="2" fontId="25" fillId="4" borderId="1" xfId="0" applyNumberFormat="1" applyFont="1" applyFill="1" applyBorder="1" applyAlignment="1">
      <alignment horizontal="center"/>
    </xf>
    <xf numFmtId="0" fontId="26" fillId="2" borderId="0" xfId="1" applyFill="1"/>
    <xf numFmtId="0" fontId="11" fillId="2" borderId="0" xfId="1" applyFont="1" applyFill="1"/>
    <xf numFmtId="0" fontId="3" fillId="2" borderId="0" xfId="1" applyFont="1" applyFill="1"/>
    <xf numFmtId="0" fontId="12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right"/>
      <protection locked="0"/>
    </xf>
    <xf numFmtId="0" fontId="11" fillId="2" borderId="0" xfId="1" applyFont="1" applyFill="1" applyAlignment="1">
      <alignment horizontal="left"/>
    </xf>
    <xf numFmtId="167" fontId="14" fillId="3" borderId="0" xfId="1" applyNumberFormat="1" applyFont="1" applyFill="1" applyAlignment="1" applyProtection="1">
      <alignment horizontal="left"/>
      <protection locked="0"/>
    </xf>
    <xf numFmtId="170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8" fillId="2" borderId="0" xfId="1" applyFont="1" applyFill="1"/>
    <xf numFmtId="0" fontId="12" fillId="2" borderId="0" xfId="1" applyFont="1" applyFill="1" applyAlignment="1" applyProtection="1">
      <alignment horizontal="center"/>
      <protection locked="0"/>
    </xf>
    <xf numFmtId="0" fontId="16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0" xfId="1" applyFont="1" applyFill="1" applyAlignment="1">
      <alignment vertical="center" wrapText="1"/>
    </xf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0" fontId="11" fillId="2" borderId="31" xfId="1" applyFont="1" applyFill="1" applyBorder="1" applyAlignment="1">
      <alignment horizontal="right"/>
    </xf>
    <xf numFmtId="0" fontId="14" fillId="3" borderId="32" xfId="1" applyFont="1" applyFill="1" applyBorder="1" applyAlignment="1" applyProtection="1">
      <alignment horizontal="center"/>
      <protection locked="0"/>
    </xf>
    <xf numFmtId="0" fontId="11" fillId="2" borderId="33" xfId="1" applyFont="1" applyFill="1" applyBorder="1" applyAlignment="1">
      <alignment horizontal="right"/>
    </xf>
    <xf numFmtId="0" fontId="14" fillId="3" borderId="34" xfId="1" applyFont="1" applyFill="1" applyBorder="1" applyAlignment="1" applyProtection="1">
      <alignment horizontal="center"/>
      <protection locked="0"/>
    </xf>
    <xf numFmtId="0" fontId="12" fillId="2" borderId="32" xfId="1" applyFont="1" applyFill="1" applyBorder="1" applyAlignment="1">
      <alignment horizontal="center"/>
    </xf>
    <xf numFmtId="0" fontId="12" fillId="2" borderId="3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60" xfId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/>
    </xf>
    <xf numFmtId="171" fontId="11" fillId="2" borderId="40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71" fontId="11" fillId="2" borderId="42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71" fontId="11" fillId="2" borderId="45" xfId="1" applyNumberFormat="1" applyFont="1" applyFill="1" applyBorder="1" applyAlignment="1">
      <alignment horizontal="center"/>
    </xf>
    <xf numFmtId="0" fontId="14" fillId="3" borderId="7" xfId="1" applyFont="1" applyFill="1" applyBorder="1" applyAlignment="1" applyProtection="1">
      <alignment horizontal="center"/>
      <protection locked="0"/>
    </xf>
    <xf numFmtId="0" fontId="11" fillId="2" borderId="34" xfId="1" applyFont="1" applyFill="1" applyBorder="1" applyAlignment="1">
      <alignment horizontal="right"/>
    </xf>
    <xf numFmtId="1" fontId="12" fillId="6" borderId="56" xfId="1" applyNumberFormat="1" applyFont="1" applyFill="1" applyBorder="1" applyAlignment="1">
      <alignment horizontal="center"/>
    </xf>
    <xf numFmtId="171" fontId="12" fillId="6" borderId="47" xfId="1" applyNumberFormat="1" applyFont="1" applyFill="1" applyBorder="1" applyAlignment="1">
      <alignment horizontal="center"/>
    </xf>
    <xf numFmtId="1" fontId="12" fillId="6" borderId="61" xfId="1" applyNumberFormat="1" applyFont="1" applyFill="1" applyBorder="1" applyAlignment="1">
      <alignment horizontal="center"/>
    </xf>
    <xf numFmtId="0" fontId="11" fillId="2" borderId="20" xfId="1" applyFont="1" applyFill="1" applyBorder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1" fillId="2" borderId="49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" fontId="11" fillId="2" borderId="0" xfId="1" applyNumberFormat="1" applyFont="1" applyFill="1" applyAlignment="1">
      <alignment horizontal="center"/>
    </xf>
    <xf numFmtId="0" fontId="11" fillId="2" borderId="24" xfId="1" applyFont="1" applyFill="1" applyBorder="1" applyAlignment="1">
      <alignment horizontal="right"/>
    </xf>
    <xf numFmtId="2" fontId="11" fillId="6" borderId="62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0" fontId="11" fillId="2" borderId="43" xfId="1" applyFont="1" applyFill="1" applyBorder="1" applyAlignment="1">
      <alignment horizontal="right"/>
    </xf>
    <xf numFmtId="171" fontId="12" fillId="7" borderId="26" xfId="1" applyNumberFormat="1" applyFont="1" applyFill="1" applyBorder="1" applyAlignment="1">
      <alignment horizontal="center"/>
    </xf>
    <xf numFmtId="10" fontId="11" fillId="6" borderId="17" xfId="1" applyNumberFormat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173" fontId="13" fillId="3" borderId="0" xfId="1" applyNumberFormat="1" applyFont="1" applyFill="1" applyAlignment="1" applyProtection="1">
      <alignment horizontal="center"/>
      <protection locked="0"/>
    </xf>
    <xf numFmtId="2" fontId="12" fillId="2" borderId="29" xfId="1" applyNumberFormat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2" fontId="11" fillId="2" borderId="33" xfId="1" applyNumberFormat="1" applyFont="1" applyFill="1" applyBorder="1" applyAlignment="1">
      <alignment horizontal="center"/>
    </xf>
    <xf numFmtId="0" fontId="14" fillId="3" borderId="50" xfId="1" applyFont="1" applyFill="1" applyBorder="1" applyAlignment="1" applyProtection="1">
      <alignment horizontal="center"/>
      <protection locked="0"/>
    </xf>
    <xf numFmtId="2" fontId="11" fillId="2" borderId="50" xfId="1" applyNumberFormat="1" applyFont="1" applyFill="1" applyBorder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3" fillId="2" borderId="52" xfId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10" fontId="13" fillId="7" borderId="1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right" vertical="center" wrapText="1"/>
    </xf>
    <xf numFmtId="0" fontId="11" fillId="2" borderId="9" xfId="1" applyFont="1" applyFill="1" applyBorder="1"/>
    <xf numFmtId="0" fontId="11" fillId="2" borderId="7" xfId="1" applyFont="1" applyFill="1" applyBorder="1" applyProtection="1">
      <protection locked="0"/>
    </xf>
    <xf numFmtId="0" fontId="11" fillId="2" borderId="0" xfId="1" applyFont="1" applyFill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0" xfId="1" applyFont="1" applyFill="1" applyProtection="1">
      <protection locked="0"/>
    </xf>
    <xf numFmtId="0" fontId="11" fillId="2" borderId="11" xfId="1" applyFont="1" applyFill="1" applyBorder="1" applyProtection="1">
      <protection locked="0"/>
    </xf>
    <xf numFmtId="0" fontId="11" fillId="2" borderId="11" xfId="1" applyFont="1" applyFill="1" applyBorder="1"/>
    <xf numFmtId="0" fontId="2" fillId="8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71" fontId="5" fillId="2" borderId="0" xfId="0" applyNumberFormat="1" applyFont="1" applyFill="1" applyAlignment="1">
      <alignment horizontal="center"/>
    </xf>
    <xf numFmtId="0" fontId="6" fillId="2" borderId="0" xfId="0" applyFont="1" applyFill="1" applyBorder="1"/>
    <xf numFmtId="0" fontId="6" fillId="2" borderId="36" xfId="0" applyFont="1" applyFill="1" applyBorder="1"/>
    <xf numFmtId="0" fontId="6" fillId="2" borderId="41" xfId="0" applyFont="1" applyFill="1" applyBorder="1"/>
    <xf numFmtId="2" fontId="2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/>
    <xf numFmtId="10" fontId="2" fillId="0" borderId="0" xfId="0" applyNumberFormat="1" applyFont="1" applyFill="1" applyBorder="1" applyAlignment="1">
      <alignment horizontal="center"/>
    </xf>
    <xf numFmtId="164" fontId="1" fillId="2" borderId="63" xfId="0" applyNumberFormat="1" applyFont="1" applyFill="1" applyBorder="1" applyAlignment="1">
      <alignment horizontal="center"/>
    </xf>
    <xf numFmtId="164" fontId="1" fillId="2" borderId="64" xfId="0" applyNumberFormat="1" applyFont="1" applyFill="1" applyBorder="1" applyAlignment="1">
      <alignment horizontal="center"/>
    </xf>
    <xf numFmtId="0" fontId="1" fillId="2" borderId="65" xfId="0" applyFont="1" applyFill="1" applyBorder="1" applyAlignment="1">
      <alignment horizontal="center"/>
    </xf>
    <xf numFmtId="164" fontId="1" fillId="2" borderId="65" xfId="0" applyNumberFormat="1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/>
    </xf>
    <xf numFmtId="0" fontId="2" fillId="2" borderId="67" xfId="0" applyFont="1" applyFill="1" applyBorder="1" applyAlignment="1">
      <alignment horizontal="center"/>
    </xf>
    <xf numFmtId="10" fontId="2" fillId="2" borderId="68" xfId="0" applyNumberFormat="1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1" fontId="2" fillId="2" borderId="70" xfId="0" applyNumberFormat="1" applyFont="1" applyFill="1" applyBorder="1" applyAlignment="1">
      <alignment horizontal="center"/>
    </xf>
    <xf numFmtId="2" fontId="2" fillId="3" borderId="71" xfId="0" applyNumberFormat="1" applyFont="1" applyFill="1" applyBorder="1" applyAlignment="1" applyProtection="1">
      <alignment horizontal="center" wrapText="1"/>
      <protection locked="0"/>
    </xf>
    <xf numFmtId="2" fontId="2" fillId="3" borderId="72" xfId="0" applyNumberFormat="1" applyFont="1" applyFill="1" applyBorder="1" applyAlignment="1" applyProtection="1">
      <alignment horizontal="center"/>
      <protection locked="0"/>
    </xf>
    <xf numFmtId="2" fontId="2" fillId="2" borderId="72" xfId="0" applyNumberFormat="1" applyFont="1" applyFill="1" applyBorder="1" applyAlignment="1">
      <alignment horizontal="center"/>
    </xf>
    <xf numFmtId="10" fontId="2" fillId="2" borderId="73" xfId="0" applyNumberFormat="1" applyFont="1" applyFill="1" applyBorder="1" applyAlignment="1">
      <alignment horizontal="center"/>
    </xf>
    <xf numFmtId="0" fontId="2" fillId="2" borderId="74" xfId="0" applyFont="1" applyFill="1" applyBorder="1" applyAlignment="1">
      <alignment horizontal="right"/>
    </xf>
    <xf numFmtId="0" fontId="2" fillId="2" borderId="78" xfId="0" applyFont="1" applyFill="1" applyBorder="1" applyAlignment="1">
      <alignment horizontal="right"/>
    </xf>
    <xf numFmtId="166" fontId="1" fillId="2" borderId="79" xfId="0" applyNumberFormat="1" applyFont="1" applyFill="1" applyBorder="1" applyAlignment="1">
      <alignment horizontal="center"/>
    </xf>
    <xf numFmtId="166" fontId="1" fillId="2" borderId="80" xfId="0" applyNumberFormat="1" applyFont="1" applyFill="1" applyBorder="1" applyAlignment="1">
      <alignment horizontal="center"/>
    </xf>
    <xf numFmtId="166" fontId="1" fillId="2" borderId="8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1" fillId="2" borderId="82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wrapText="1"/>
    </xf>
    <xf numFmtId="165" fontId="1" fillId="2" borderId="84" xfId="0" applyNumberFormat="1" applyFont="1" applyFill="1" applyBorder="1" applyAlignment="1">
      <alignment horizontal="center"/>
    </xf>
    <xf numFmtId="168" fontId="1" fillId="2" borderId="85" xfId="0" applyNumberFormat="1" applyFont="1" applyFill="1" applyBorder="1" applyAlignment="1">
      <alignment horizontal="center" vertical="center"/>
    </xf>
    <xf numFmtId="165" fontId="1" fillId="2" borderId="72" xfId="0" applyNumberFormat="1" applyFont="1" applyFill="1" applyBorder="1" applyAlignment="1">
      <alignment horizontal="center"/>
    </xf>
    <xf numFmtId="168" fontId="1" fillId="2" borderId="87" xfId="0" applyNumberFormat="1" applyFont="1" applyFill="1" applyBorder="1" applyAlignment="1">
      <alignment horizontal="center" vertical="center"/>
    </xf>
    <xf numFmtId="2" fontId="7" fillId="0" borderId="88" xfId="0" applyNumberFormat="1" applyFont="1" applyFill="1" applyBorder="1" applyAlignment="1" applyProtection="1">
      <alignment horizontal="center"/>
      <protection locked="0"/>
    </xf>
    <xf numFmtId="0" fontId="2" fillId="2" borderId="88" xfId="0" applyFont="1" applyFill="1" applyBorder="1"/>
    <xf numFmtId="0" fontId="1" fillId="2" borderId="10" xfId="0" applyFont="1" applyFill="1" applyBorder="1" applyAlignment="1"/>
    <xf numFmtId="2" fontId="2" fillId="2" borderId="75" xfId="0" applyNumberFormat="1" applyFont="1" applyFill="1" applyBorder="1" applyAlignment="1">
      <alignment horizontal="center"/>
    </xf>
    <xf numFmtId="2" fontId="2" fillId="2" borderId="76" xfId="0" applyNumberFormat="1" applyFont="1" applyFill="1" applyBorder="1" applyAlignment="1">
      <alignment horizontal="center"/>
    </xf>
    <xf numFmtId="2" fontId="2" fillId="2" borderId="77" xfId="0" applyNumberFormat="1" applyFont="1" applyFill="1" applyBorder="1" applyAlignment="1">
      <alignment horizontal="center"/>
    </xf>
    <xf numFmtId="0" fontId="4" fillId="2" borderId="0" xfId="0" applyFont="1" applyFill="1" applyAlignment="1"/>
    <xf numFmtId="174" fontId="14" fillId="3" borderId="17" xfId="1" applyNumberFormat="1" applyFont="1" applyFill="1" applyBorder="1" applyAlignment="1" applyProtection="1">
      <alignment horizontal="center"/>
      <protection locked="0"/>
    </xf>
    <xf numFmtId="166" fontId="11" fillId="6" borderId="17" xfId="1" applyNumberFormat="1" applyFont="1" applyFill="1" applyBorder="1" applyAlignment="1">
      <alignment horizontal="center"/>
    </xf>
    <xf numFmtId="166" fontId="11" fillId="6" borderId="18" xfId="1" applyNumberFormat="1" applyFont="1" applyFill="1" applyBorder="1" applyAlignment="1">
      <alignment horizontal="center"/>
    </xf>
    <xf numFmtId="9" fontId="11" fillId="2" borderId="0" xfId="3" applyFont="1" applyFill="1"/>
    <xf numFmtId="0" fontId="11" fillId="2" borderId="32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2" fontId="14" fillId="3" borderId="26" xfId="1" applyNumberFormat="1" applyFont="1" applyFill="1" applyBorder="1" applyAlignment="1" applyProtection="1">
      <alignment horizontal="center"/>
      <protection locked="0"/>
    </xf>
    <xf numFmtId="10" fontId="11" fillId="2" borderId="89" xfId="1" applyNumberFormat="1" applyFont="1" applyFill="1" applyBorder="1" applyAlignment="1">
      <alignment horizontal="center" vertical="center"/>
    </xf>
    <xf numFmtId="10" fontId="11" fillId="2" borderId="90" xfId="1" applyNumberFormat="1" applyFont="1" applyFill="1" applyBorder="1" applyAlignment="1">
      <alignment horizontal="center" vertical="center"/>
    </xf>
    <xf numFmtId="10" fontId="11" fillId="2" borderId="92" xfId="1" applyNumberFormat="1" applyFont="1" applyFill="1" applyBorder="1" applyAlignment="1">
      <alignment horizontal="center" vertical="center"/>
    </xf>
    <xf numFmtId="175" fontId="13" fillId="3" borderId="0" xfId="1" applyNumberFormat="1" applyFont="1" applyFill="1" applyAlignment="1" applyProtection="1">
      <alignment horizontal="center"/>
      <protection locked="0"/>
    </xf>
    <xf numFmtId="176" fontId="12" fillId="2" borderId="0" xfId="1" applyNumberFormat="1" applyFont="1" applyFill="1" applyAlignment="1">
      <alignment horizontal="center"/>
    </xf>
    <xf numFmtId="0" fontId="12" fillId="2" borderId="0" xfId="1" applyFont="1" applyFill="1" applyAlignment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82" xfId="0" applyNumberFormat="1" applyFont="1" applyFill="1" applyBorder="1" applyAlignment="1">
      <alignment horizontal="center" vertical="center"/>
    </xf>
    <xf numFmtId="169" fontId="1" fillId="2" borderId="8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59" xfId="0" applyFont="1" applyFill="1" applyBorder="1" applyAlignment="1">
      <alignment horizontal="center"/>
    </xf>
    <xf numFmtId="0" fontId="19" fillId="2" borderId="28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9" fillId="2" borderId="59" xfId="0" applyFont="1" applyFill="1" applyBorder="1" applyAlignment="1">
      <alignment horizontal="justify" vertical="center" wrapText="1"/>
    </xf>
    <xf numFmtId="0" fontId="19" fillId="2" borderId="28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59" xfId="0" applyFont="1" applyFill="1" applyBorder="1" applyAlignment="1">
      <alignment horizontal="left" vertical="center" wrapText="1"/>
    </xf>
    <xf numFmtId="0" fontId="19" fillId="2" borderId="28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1" xfId="0" applyNumberFormat="1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left" vertical="center" wrapText="1"/>
    </xf>
    <xf numFmtId="0" fontId="19" fillId="2" borderId="32" xfId="0" applyFont="1" applyFill="1" applyBorder="1" applyAlignment="1">
      <alignment horizontal="left" vertical="center" wrapText="1"/>
    </xf>
    <xf numFmtId="0" fontId="19" fillId="2" borderId="50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29" xfId="0" applyNumberFormat="1" applyFont="1" applyFill="1" applyBorder="1" applyAlignment="1" applyProtection="1">
      <alignment horizontal="center" vertical="center"/>
      <protection locked="0"/>
    </xf>
    <xf numFmtId="2" fontId="13" fillId="3" borderId="51" xfId="0" applyNumberFormat="1" applyFont="1" applyFill="1" applyBorder="1" applyAlignment="1" applyProtection="1">
      <alignment horizontal="center" vertical="center"/>
      <protection locked="0"/>
    </xf>
    <xf numFmtId="2" fontId="13" fillId="3" borderId="30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 wrapText="1"/>
    </xf>
    <xf numFmtId="0" fontId="19" fillId="2" borderId="32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24" fillId="3" borderId="0" xfId="0" applyFont="1" applyFill="1" applyAlignment="1" applyProtection="1">
      <alignment horizontal="left" wrapText="1"/>
      <protection locked="0"/>
    </xf>
    <xf numFmtId="0" fontId="19" fillId="2" borderId="59" xfId="1" applyFont="1" applyFill="1" applyBorder="1" applyAlignment="1">
      <alignment horizontal="left" vertical="center" wrapText="1"/>
    </xf>
    <xf numFmtId="0" fontId="19" fillId="2" borderId="28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8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59" xfId="1" applyFont="1" applyFill="1" applyBorder="1" applyAlignment="1">
      <alignment horizontal="center"/>
    </xf>
    <xf numFmtId="0" fontId="19" fillId="2" borderId="28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9" fillId="2" borderId="3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5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3" fillId="3" borderId="89" xfId="1" applyFont="1" applyFill="1" applyBorder="1" applyAlignment="1" applyProtection="1">
      <alignment horizontal="center" vertical="center"/>
      <protection locked="0"/>
    </xf>
    <xf numFmtId="0" fontId="13" fillId="3" borderId="90" xfId="1" applyFont="1" applyFill="1" applyBorder="1" applyAlignment="1" applyProtection="1">
      <alignment horizontal="center" vertical="center"/>
      <protection locked="0"/>
    </xf>
    <xf numFmtId="0" fontId="13" fillId="3" borderId="91" xfId="1" applyFont="1" applyFill="1" applyBorder="1" applyAlignment="1" applyProtection="1">
      <alignment horizontal="center" vertical="center"/>
      <protection locked="0"/>
    </xf>
    <xf numFmtId="0" fontId="12" fillId="2" borderId="50" xfId="1" applyFont="1" applyFill="1" applyBorder="1" applyAlignment="1">
      <alignment horizontal="center" vertical="center"/>
    </xf>
    <xf numFmtId="0" fontId="13" fillId="3" borderId="92" xfId="1" applyFont="1" applyFill="1" applyBorder="1" applyAlignment="1" applyProtection="1">
      <alignment horizontal="center" vertical="center"/>
      <protection locked="0"/>
    </xf>
    <xf numFmtId="0" fontId="19" fillId="2" borderId="32" xfId="1" applyFont="1" applyFill="1" applyBorder="1" applyAlignment="1">
      <alignment horizontal="left" vertical="center" wrapText="1"/>
    </xf>
    <xf numFmtId="0" fontId="19" fillId="2" borderId="52" xfId="1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4" xfId="2"/>
    <cellStyle name="Percent" xfId="3" builtinId="5"/>
  </cellStyles>
  <dxfs count="40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D39" sqref="D3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21" t="s">
        <v>0</v>
      </c>
      <c r="B15" s="421"/>
      <c r="C15" s="421"/>
      <c r="D15" s="421"/>
      <c r="E15" s="42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150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24.5</v>
      </c>
      <c r="C20" s="10"/>
      <c r="D20" s="10"/>
      <c r="E20" s="10"/>
    </row>
    <row r="21" spans="1:6" ht="16.5" customHeight="1" x14ac:dyDescent="0.3">
      <c r="A21" s="7" t="s">
        <v>9</v>
      </c>
      <c r="B21" s="366">
        <f>B20/50*2/20</f>
        <v>4.9000000000000002E-2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83249459</v>
      </c>
      <c r="C24" s="18">
        <v>6341.62</v>
      </c>
      <c r="D24" s="19">
        <v>1.1000000000000001</v>
      </c>
      <c r="E24" s="20">
        <v>10.01</v>
      </c>
    </row>
    <row r="25" spans="1:6" ht="16.5" customHeight="1" x14ac:dyDescent="0.3">
      <c r="A25" s="17">
        <v>2</v>
      </c>
      <c r="B25" s="18">
        <v>83211662</v>
      </c>
      <c r="C25" s="18">
        <v>6381.18</v>
      </c>
      <c r="D25" s="19">
        <v>1.1000000000000001</v>
      </c>
      <c r="E25" s="19">
        <v>10.01</v>
      </c>
    </row>
    <row r="26" spans="1:6" ht="16.5" customHeight="1" x14ac:dyDescent="0.3">
      <c r="A26" s="17">
        <v>3</v>
      </c>
      <c r="B26" s="18">
        <v>83307982</v>
      </c>
      <c r="C26" s="18">
        <v>6400.73</v>
      </c>
      <c r="D26" s="19">
        <v>1.0900000000000001</v>
      </c>
      <c r="E26" s="19">
        <v>10.029999999999999</v>
      </c>
    </row>
    <row r="27" spans="1:6" ht="16.5" customHeight="1" x14ac:dyDescent="0.3">
      <c r="A27" s="17">
        <v>4</v>
      </c>
      <c r="B27" s="18">
        <v>83330444</v>
      </c>
      <c r="C27" s="18">
        <v>6425.32</v>
      </c>
      <c r="D27" s="19">
        <v>1.0900000000000001</v>
      </c>
      <c r="E27" s="19">
        <v>10.050000000000001</v>
      </c>
    </row>
    <row r="28" spans="1:6" ht="16.5" customHeight="1" x14ac:dyDescent="0.3">
      <c r="A28" s="17">
        <v>5</v>
      </c>
      <c r="B28" s="18">
        <v>83103723</v>
      </c>
      <c r="C28" s="18">
        <v>6506.33</v>
      </c>
      <c r="D28" s="19">
        <v>1.1000000000000001</v>
      </c>
      <c r="E28" s="19">
        <v>10.01</v>
      </c>
    </row>
    <row r="29" spans="1:6" ht="16.5" customHeight="1" x14ac:dyDescent="0.3">
      <c r="A29" s="17">
        <v>6</v>
      </c>
      <c r="B29" s="21">
        <v>82803186</v>
      </c>
      <c r="C29" s="21">
        <v>6529.7</v>
      </c>
      <c r="D29" s="22">
        <v>1.1000000000000001</v>
      </c>
      <c r="E29" s="22">
        <v>9.99</v>
      </c>
    </row>
    <row r="30" spans="1:6" ht="16.5" customHeight="1" x14ac:dyDescent="0.3">
      <c r="A30" s="363" t="s">
        <v>17</v>
      </c>
      <c r="B30" s="24">
        <f>AVERAGE(B24:B29)</f>
        <v>83167742.666666672</v>
      </c>
      <c r="C30" s="25">
        <f>AVERAGE(C24:C29)</f>
        <v>6430.8133333333326</v>
      </c>
      <c r="D30" s="26">
        <f>AVERAGE(D24:D29)</f>
        <v>1.0966666666666667</v>
      </c>
      <c r="E30" s="277">
        <f>AVERAGE(E24:E29)</f>
        <v>10.016666666666666</v>
      </c>
    </row>
    <row r="31" spans="1:6" ht="16.5" customHeight="1" x14ac:dyDescent="0.3">
      <c r="A31" s="17" t="s">
        <v>18</v>
      </c>
      <c r="B31" s="28">
        <f>(STDEV(B24:B29)/B30)</f>
        <v>2.3546290377166657E-3</v>
      </c>
      <c r="C31" s="29"/>
      <c r="D31" s="29"/>
      <c r="E31" s="30"/>
      <c r="F31" s="2"/>
    </row>
    <row r="32" spans="1:6" s="2" customFormat="1" ht="16.5" customHeight="1" x14ac:dyDescent="0.3">
      <c r="A32" s="364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153</v>
      </c>
      <c r="C35" s="38"/>
      <c r="D35" s="38"/>
      <c r="E35" s="39"/>
      <c r="F35" s="2"/>
    </row>
    <row r="36" spans="1:6" ht="16.5" customHeight="1" x14ac:dyDescent="0.3">
      <c r="A36" s="11"/>
      <c r="B36" s="40" t="s">
        <v>152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99.65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10.48</v>
      </c>
      <c r="C41" s="10"/>
      <c r="D41" s="10"/>
      <c r="E41" s="10"/>
    </row>
    <row r="42" spans="1:6" ht="16.5" customHeight="1" x14ac:dyDescent="0.3">
      <c r="A42" s="7" t="s">
        <v>9</v>
      </c>
      <c r="B42" s="365">
        <f>B41/50*5/20</f>
        <v>5.2400000000000002E-2</v>
      </c>
      <c r="C42" s="10"/>
      <c r="D42" s="10"/>
      <c r="E42" s="10"/>
    </row>
    <row r="43" spans="1:6" ht="15.75" customHeight="1" x14ac:dyDescent="0.3">
      <c r="A43" s="10"/>
      <c r="B43" s="13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105781117</v>
      </c>
      <c r="C45" s="18">
        <v>3338.1</v>
      </c>
      <c r="D45" s="19">
        <v>1.2</v>
      </c>
      <c r="E45" s="362">
        <v>2.5</v>
      </c>
    </row>
    <row r="46" spans="1:6" ht="16.5" customHeight="1" x14ac:dyDescent="0.3">
      <c r="A46" s="17">
        <v>2</v>
      </c>
      <c r="B46" s="18">
        <v>105222752</v>
      </c>
      <c r="C46" s="18">
        <v>3294.8</v>
      </c>
      <c r="D46" s="19">
        <v>1.3</v>
      </c>
      <c r="E46" s="362">
        <v>2.5</v>
      </c>
    </row>
    <row r="47" spans="1:6" ht="16.5" customHeight="1" x14ac:dyDescent="0.3">
      <c r="A47" s="17">
        <v>3</v>
      </c>
      <c r="B47" s="18">
        <v>105126907</v>
      </c>
      <c r="C47" s="18">
        <v>3290.9</v>
      </c>
      <c r="D47" s="19">
        <v>1.3</v>
      </c>
      <c r="E47" s="362">
        <v>2.5</v>
      </c>
    </row>
    <row r="48" spans="1:6" ht="16.5" customHeight="1" x14ac:dyDescent="0.3">
      <c r="A48" s="17">
        <v>4</v>
      </c>
      <c r="B48" s="18">
        <v>105984212</v>
      </c>
      <c r="C48" s="18">
        <v>3206.9</v>
      </c>
      <c r="D48" s="19">
        <v>1.3</v>
      </c>
      <c r="E48" s="362">
        <v>2.5</v>
      </c>
    </row>
    <row r="49" spans="1:7" ht="16.5" customHeight="1" x14ac:dyDescent="0.3">
      <c r="A49" s="17">
        <v>5</v>
      </c>
      <c r="B49" s="18">
        <v>105541776</v>
      </c>
      <c r="C49" s="18">
        <v>3220.4</v>
      </c>
      <c r="D49" s="19">
        <v>1.3</v>
      </c>
      <c r="E49" s="362">
        <v>2.5</v>
      </c>
    </row>
    <row r="50" spans="1:7" ht="16.5" customHeight="1" x14ac:dyDescent="0.3">
      <c r="A50" s="17">
        <v>6</v>
      </c>
      <c r="B50" s="21">
        <v>106133923</v>
      </c>
      <c r="C50" s="21">
        <v>3196</v>
      </c>
      <c r="D50" s="22">
        <v>1.3</v>
      </c>
      <c r="E50" s="362">
        <v>2.5</v>
      </c>
    </row>
    <row r="51" spans="1:7" ht="16.5" customHeight="1" x14ac:dyDescent="0.3">
      <c r="A51" s="23" t="s">
        <v>17</v>
      </c>
      <c r="B51" s="24">
        <f>AVERAGE(B45:B50)</f>
        <v>105631781.16666667</v>
      </c>
      <c r="C51" s="25">
        <f>AVERAGE(C45:C50)</f>
        <v>3257.85</v>
      </c>
      <c r="D51" s="26">
        <f>AVERAGE(D45:D50)</f>
        <v>1.2833333333333332</v>
      </c>
      <c r="E51" s="26"/>
    </row>
    <row r="52" spans="1:7" ht="16.5" customHeight="1" x14ac:dyDescent="0.3">
      <c r="A52" s="27" t="s">
        <v>18</v>
      </c>
      <c r="B52" s="28">
        <f>(STDEV(B45:B50)/B51)</f>
        <v>3.8546670602454982E-3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22" t="s">
        <v>25</v>
      </c>
      <c r="C59" s="42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28" zoomScaleNormal="100" zoomScaleSheetLayoutView="100" workbookViewId="0">
      <selection activeCell="A8" sqref="A8:G8"/>
    </sheetView>
  </sheetViews>
  <sheetFormatPr defaultColWidth="9.109375" defaultRowHeight="15.6" x14ac:dyDescent="0.3"/>
  <cols>
    <col min="1" max="1" width="13.109375" style="372" customWidth="1"/>
    <col min="2" max="2" width="17.88671875" style="393" customWidth="1"/>
    <col min="3" max="3" width="18.88671875" style="372" customWidth="1"/>
    <col min="4" max="4" width="19.6640625" style="394" customWidth="1"/>
    <col min="5" max="5" width="18.44140625" style="37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</cols>
  <sheetData>
    <row r="1" spans="1:15" ht="13.8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3.8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3.8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3.8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3.8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3.8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3.8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428" t="s">
        <v>30</v>
      </c>
      <c r="B8" s="428"/>
      <c r="C8" s="428"/>
      <c r="D8" s="428"/>
      <c r="E8" s="428"/>
      <c r="F8" s="428"/>
      <c r="G8" s="428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429" t="s">
        <v>31</v>
      </c>
      <c r="B10" s="429"/>
      <c r="C10" s="429"/>
      <c r="D10" s="429"/>
      <c r="E10" s="429"/>
      <c r="F10" s="407"/>
      <c r="G10" s="40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423" t="s">
        <v>32</v>
      </c>
      <c r="B11" s="423"/>
      <c r="C11" s="73" t="s">
        <v>5</v>
      </c>
      <c r="D11" s="368"/>
      <c r="E11" s="370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423" t="s">
        <v>33</v>
      </c>
      <c r="B12" s="423"/>
      <c r="C12" s="73" t="s">
        <v>7</v>
      </c>
      <c r="D12" s="367"/>
      <c r="E12" s="370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423" t="s">
        <v>34</v>
      </c>
      <c r="B13" s="423"/>
      <c r="C13" s="73" t="s">
        <v>136</v>
      </c>
      <c r="D13" s="369"/>
      <c r="E13" s="370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423" t="s">
        <v>35</v>
      </c>
      <c r="B14" s="423"/>
      <c r="C14" s="427" t="s">
        <v>135</v>
      </c>
      <c r="D14" s="427"/>
      <c r="E14" s="427"/>
      <c r="F14" s="427"/>
      <c r="G14" s="427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423" t="s">
        <v>36</v>
      </c>
      <c r="B15" s="423"/>
      <c r="C15" s="74" t="s">
        <v>11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423" t="s">
        <v>37</v>
      </c>
      <c r="B16" s="423"/>
      <c r="C16" s="74" t="s">
        <v>38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ht="13.8" x14ac:dyDescent="0.3">
      <c r="A17" s="217"/>
      <c r="B17" s="217"/>
      <c r="C17" s="217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424" t="s">
        <v>1</v>
      </c>
      <c r="B18" s="424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thickBot="1" x14ac:dyDescent="0.35">
      <c r="A19" s="76"/>
      <c r="B19" s="73"/>
      <c r="C19" s="217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thickBot="1" x14ac:dyDescent="0.35">
      <c r="A20" s="375" t="s">
        <v>40</v>
      </c>
      <c r="B20" s="376" t="s">
        <v>41</v>
      </c>
      <c r="C20" s="377" t="s">
        <v>42</v>
      </c>
      <c r="D20" s="378" t="s">
        <v>43</v>
      </c>
      <c r="E20" s="379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3.8" x14ac:dyDescent="0.3">
      <c r="A21" s="380">
        <v>1</v>
      </c>
      <c r="B21" s="77">
        <v>733.65</v>
      </c>
      <c r="C21" s="78">
        <v>205.08</v>
      </c>
      <c r="D21" s="79">
        <f t="shared" ref="D21:D40" si="0">B21-C21</f>
        <v>528.56999999999994</v>
      </c>
      <c r="E21" s="381">
        <f t="shared" ref="E21:E40" si="1">(D21-$D$43)/$D$43</f>
        <v>-1.0177807323901783E-2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3.8" x14ac:dyDescent="0.3">
      <c r="A22" s="382">
        <v>2</v>
      </c>
      <c r="B22" s="80">
        <v>741.23</v>
      </c>
      <c r="C22" s="81">
        <v>199.96</v>
      </c>
      <c r="D22" s="82">
        <f t="shared" si="0"/>
        <v>541.27</v>
      </c>
      <c r="E22" s="381">
        <f>(D22-$D$43)/$D$43</f>
        <v>1.3604741528637131E-2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3.8" x14ac:dyDescent="0.3">
      <c r="A23" s="382">
        <v>3</v>
      </c>
      <c r="B23" s="80">
        <v>739.07</v>
      </c>
      <c r="C23" s="81">
        <v>201.28</v>
      </c>
      <c r="D23" s="82">
        <f t="shared" si="0"/>
        <v>537.79000000000008</v>
      </c>
      <c r="E23" s="381">
        <f t="shared" si="1"/>
        <v>7.0879486147132839E-3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3.8" x14ac:dyDescent="0.3">
      <c r="A24" s="382">
        <v>4</v>
      </c>
      <c r="B24" s="80">
        <v>734.54</v>
      </c>
      <c r="C24" s="81">
        <v>202.02</v>
      </c>
      <c r="D24" s="82">
        <f t="shared" si="0"/>
        <v>532.52</v>
      </c>
      <c r="E24" s="381">
        <f t="shared" si="1"/>
        <v>-2.7808728382695425E-3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3.8" x14ac:dyDescent="0.3">
      <c r="A25" s="382">
        <v>5</v>
      </c>
      <c r="B25" s="80">
        <v>740.26</v>
      </c>
      <c r="C25" s="81">
        <v>206.48</v>
      </c>
      <c r="D25" s="82">
        <f t="shared" si="0"/>
        <v>533.78</v>
      </c>
      <c r="E25" s="381">
        <f t="shared" si="1"/>
        <v>-4.2134436943499853E-4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3.8" x14ac:dyDescent="0.3">
      <c r="A26" s="382">
        <v>6</v>
      </c>
      <c r="B26" s="80">
        <v>739.44</v>
      </c>
      <c r="C26" s="81">
        <v>202.89</v>
      </c>
      <c r="D26" s="82">
        <f t="shared" si="0"/>
        <v>536.55000000000007</v>
      </c>
      <c r="E26" s="381">
        <f t="shared" si="1"/>
        <v>4.7658729787173502E-3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3.8" x14ac:dyDescent="0.3">
      <c r="A27" s="382">
        <v>7</v>
      </c>
      <c r="B27" s="80">
        <v>736.9</v>
      </c>
      <c r="C27" s="81">
        <v>203.36</v>
      </c>
      <c r="D27" s="82">
        <f t="shared" si="0"/>
        <v>533.54</v>
      </c>
      <c r="E27" s="381">
        <f t="shared" si="1"/>
        <v>-8.7077836349874142E-4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3.8" x14ac:dyDescent="0.3">
      <c r="A28" s="382">
        <v>8</v>
      </c>
      <c r="B28" s="80">
        <v>736.63</v>
      </c>
      <c r="C28" s="81">
        <v>204.21</v>
      </c>
      <c r="D28" s="82">
        <f t="shared" si="0"/>
        <v>532.41999999999996</v>
      </c>
      <c r="E28" s="381">
        <f t="shared" si="1"/>
        <v>-2.9681370024628043E-3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3.8" x14ac:dyDescent="0.3">
      <c r="A29" s="382">
        <v>9</v>
      </c>
      <c r="B29" s="80">
        <v>735.04</v>
      </c>
      <c r="C29" s="81">
        <v>204.53</v>
      </c>
      <c r="D29" s="82">
        <f t="shared" si="0"/>
        <v>530.51</v>
      </c>
      <c r="E29" s="381">
        <f t="shared" si="1"/>
        <v>-6.5448825385532299E-3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3.8" x14ac:dyDescent="0.3">
      <c r="A30" s="382">
        <v>10</v>
      </c>
      <c r="B30" s="83">
        <v>735.31</v>
      </c>
      <c r="C30" s="81">
        <v>204.91</v>
      </c>
      <c r="D30" s="82">
        <f t="shared" si="0"/>
        <v>530.4</v>
      </c>
      <c r="E30" s="381">
        <f t="shared" si="1"/>
        <v>-6.7508731191657963E-3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3.8" x14ac:dyDescent="0.3">
      <c r="A31" s="382">
        <v>11</v>
      </c>
      <c r="B31" s="83">
        <v>735.76</v>
      </c>
      <c r="C31" s="81">
        <v>197.27</v>
      </c>
      <c r="D31" s="82">
        <f t="shared" si="0"/>
        <v>538.49</v>
      </c>
      <c r="E31" s="381">
        <f t="shared" si="1"/>
        <v>8.3987977640656904E-3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3.8" x14ac:dyDescent="0.3">
      <c r="A32" s="382">
        <v>12</v>
      </c>
      <c r="B32" s="83">
        <v>746.08</v>
      </c>
      <c r="C32" s="81">
        <v>198.48</v>
      </c>
      <c r="D32" s="82">
        <f t="shared" si="0"/>
        <v>547.6</v>
      </c>
      <c r="E32" s="381">
        <f t="shared" si="1"/>
        <v>2.5458563122067977E-2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3.8" x14ac:dyDescent="0.3">
      <c r="A33" s="382">
        <v>13</v>
      </c>
      <c r="B33" s="83">
        <v>732.33</v>
      </c>
      <c r="C33" s="81">
        <v>199.15</v>
      </c>
      <c r="D33" s="82">
        <f t="shared" si="0"/>
        <v>533.18000000000006</v>
      </c>
      <c r="E33" s="381">
        <f t="shared" si="1"/>
        <v>-1.5449293545941429E-3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3.8" x14ac:dyDescent="0.3">
      <c r="A34" s="382">
        <v>14</v>
      </c>
      <c r="B34" s="83">
        <v>729.59</v>
      </c>
      <c r="C34" s="81">
        <v>200.15</v>
      </c>
      <c r="D34" s="82">
        <f t="shared" si="0"/>
        <v>529.44000000000005</v>
      </c>
      <c r="E34" s="381">
        <f t="shared" si="1"/>
        <v>-8.5486090954205556E-3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3.8" x14ac:dyDescent="0.3">
      <c r="A35" s="382">
        <v>15</v>
      </c>
      <c r="B35" s="83">
        <v>736.89</v>
      </c>
      <c r="C35" s="81">
        <v>201.32</v>
      </c>
      <c r="D35" s="82">
        <f t="shared" si="0"/>
        <v>535.56999999999994</v>
      </c>
      <c r="E35" s="381">
        <f t="shared" si="1"/>
        <v>2.9306841696235559E-3</v>
      </c>
      <c r="G35" s="59"/>
      <c r="J35" s="59"/>
      <c r="K35" s="65"/>
      <c r="L35" s="60"/>
      <c r="N35" s="60"/>
    </row>
    <row r="36" spans="1:15" ht="13.8" x14ac:dyDescent="0.3">
      <c r="A36" s="382">
        <v>16</v>
      </c>
      <c r="B36" s="83">
        <v>738.61</v>
      </c>
      <c r="C36" s="81">
        <v>202.66</v>
      </c>
      <c r="D36" s="82">
        <f t="shared" si="0"/>
        <v>535.95000000000005</v>
      </c>
      <c r="E36" s="381">
        <f t="shared" si="1"/>
        <v>3.642287993557993E-3</v>
      </c>
      <c r="G36" s="66"/>
      <c r="H36" s="66"/>
    </row>
    <row r="37" spans="1:15" ht="13.8" x14ac:dyDescent="0.3">
      <c r="A37" s="382">
        <v>17</v>
      </c>
      <c r="B37" s="83">
        <v>731.48</v>
      </c>
      <c r="C37" s="81">
        <v>203.56</v>
      </c>
      <c r="D37" s="82">
        <f t="shared" si="0"/>
        <v>527.92000000000007</v>
      </c>
      <c r="E37" s="381">
        <f t="shared" si="1"/>
        <v>-1.1395024391157452E-2</v>
      </c>
    </row>
    <row r="38" spans="1:15" ht="13.8" x14ac:dyDescent="0.3">
      <c r="A38" s="382">
        <v>18</v>
      </c>
      <c r="B38" s="83">
        <v>743.05</v>
      </c>
      <c r="C38" s="81">
        <v>204.16</v>
      </c>
      <c r="D38" s="82">
        <f t="shared" si="0"/>
        <v>538.89</v>
      </c>
      <c r="E38" s="381">
        <f t="shared" si="1"/>
        <v>9.1478544208385242E-3</v>
      </c>
    </row>
    <row r="39" spans="1:15" ht="13.8" x14ac:dyDescent="0.3">
      <c r="A39" s="382">
        <v>19</v>
      </c>
      <c r="B39" s="83">
        <v>736.13</v>
      </c>
      <c r="C39" s="81">
        <v>205.53</v>
      </c>
      <c r="D39" s="82">
        <f t="shared" si="0"/>
        <v>530.6</v>
      </c>
      <c r="E39" s="381">
        <f t="shared" si="1"/>
        <v>-6.3763447907792727E-3</v>
      </c>
    </row>
    <row r="40" spans="1:15" ht="14.25" customHeight="1" thickBot="1" x14ac:dyDescent="0.35">
      <c r="A40" s="383">
        <v>20</v>
      </c>
      <c r="B40" s="384">
        <v>731.34</v>
      </c>
      <c r="C40" s="385">
        <v>206.23</v>
      </c>
      <c r="D40" s="386">
        <f t="shared" si="0"/>
        <v>525.11</v>
      </c>
      <c r="E40" s="387">
        <f t="shared" si="1"/>
        <v>-1.665714740498702E-2</v>
      </c>
    </row>
    <row r="41" spans="1:15" ht="14.25" customHeight="1" thickBot="1" x14ac:dyDescent="0.35">
      <c r="B41" s="373"/>
      <c r="D41" s="374"/>
      <c r="G41" s="54"/>
    </row>
    <row r="42" spans="1:15" ht="14.4" x14ac:dyDescent="0.3">
      <c r="A42" s="388" t="s">
        <v>45</v>
      </c>
      <c r="B42" s="404">
        <f>SUM(B21:B40)</f>
        <v>14733.329999999998</v>
      </c>
      <c r="C42" s="405">
        <f>SUM(C21:C40)</f>
        <v>4053.2300000000005</v>
      </c>
      <c r="D42" s="406">
        <f>SUM(D21:D40)</f>
        <v>10680.100000000002</v>
      </c>
    </row>
    <row r="43" spans="1:15" ht="15.75" customHeight="1" thickBot="1" x14ac:dyDescent="0.35">
      <c r="A43" s="389" t="s">
        <v>46</v>
      </c>
      <c r="B43" s="390">
        <f>AVERAGE(B21:B40)</f>
        <v>736.66649999999993</v>
      </c>
      <c r="C43" s="391">
        <f>AVERAGE(C21:C40)</f>
        <v>202.66150000000002</v>
      </c>
      <c r="D43" s="392">
        <f>AVERAGE(D21:D40)</f>
        <v>534.00500000000011</v>
      </c>
    </row>
    <row r="44" spans="1:15" ht="14.4" x14ac:dyDescent="0.3">
      <c r="A44" s="67"/>
      <c r="B44" s="84"/>
      <c r="C44" s="84"/>
      <c r="D44" s="73"/>
    </row>
    <row r="45" spans="1:15" ht="14.25" customHeight="1" thickBot="1" x14ac:dyDescent="0.35">
      <c r="A45" s="67"/>
      <c r="B45" s="67"/>
      <c r="C45" s="67"/>
      <c r="D45" s="73"/>
    </row>
    <row r="46" spans="1:15" ht="30.75" customHeight="1" thickBot="1" x14ac:dyDescent="0.35">
      <c r="A46" s="217"/>
      <c r="B46" s="395" t="s">
        <v>46</v>
      </c>
      <c r="C46" s="396" t="s">
        <v>47</v>
      </c>
      <c r="D46" s="367"/>
    </row>
    <row r="47" spans="1:15" ht="15.75" customHeight="1" thickBot="1" x14ac:dyDescent="0.35">
      <c r="A47" s="217"/>
      <c r="B47" s="425">
        <f>D43</f>
        <v>534.00500000000011</v>
      </c>
      <c r="C47" s="397">
        <f>-(IF(D43&gt;300, 7.5%, 10%))</f>
        <v>-7.4999999999999997E-2</v>
      </c>
      <c r="D47" s="398">
        <f>IF(D43&lt;300, D43*0.9, D43*0.925)</f>
        <v>493.95462500000014</v>
      </c>
    </row>
    <row r="48" spans="1:15" ht="15.75" customHeight="1" thickBot="1" x14ac:dyDescent="0.35">
      <c r="A48" s="217"/>
      <c r="B48" s="426"/>
      <c r="C48" s="399">
        <f>+(IF(D43&gt;300, 7.5%, 10%))</f>
        <v>7.4999999999999997E-2</v>
      </c>
      <c r="D48" s="400">
        <f>IF(D43&lt;300, D43*1.1, D43*1.075)</f>
        <v>574.05537500000014</v>
      </c>
    </row>
    <row r="49" spans="1:5" ht="14.25" customHeight="1" thickBot="1" x14ac:dyDescent="0.35">
      <c r="A49" s="402"/>
      <c r="B49" s="43"/>
      <c r="C49" s="43"/>
      <c r="D49" s="43"/>
      <c r="E49" s="401"/>
    </row>
    <row r="50" spans="1:5" ht="15" customHeight="1" x14ac:dyDescent="0.3">
      <c r="B50" s="403" t="s">
        <v>25</v>
      </c>
      <c r="D50" s="371" t="s">
        <v>26</v>
      </c>
      <c r="E50" s="85" t="s">
        <v>27</v>
      </c>
    </row>
    <row r="51" spans="1:5" ht="22.8" customHeight="1" x14ac:dyDescent="0.3">
      <c r="A51" s="86" t="s">
        <v>28</v>
      </c>
      <c r="B51" s="87"/>
      <c r="C51" s="88"/>
      <c r="D51" s="87"/>
      <c r="E51" s="88"/>
    </row>
    <row r="52" spans="1:5" ht="24" customHeight="1" x14ac:dyDescent="0.3">
      <c r="A52" s="86" t="s">
        <v>29</v>
      </c>
      <c r="B52" s="88"/>
      <c r="C52" s="88"/>
      <c r="D52" s="88"/>
      <c r="E52" s="88"/>
    </row>
  </sheetData>
  <sheetProtection formatCells="0" formatColumns="0" formatRows="0" insertColumns="0" insertRows="0" insertHyperlinks="0" deleteColumns="0" deleteRows="0" sort="0" autoFilter="0" pivotTables="0"/>
  <mergeCells count="11">
    <mergeCell ref="C14:G14"/>
    <mergeCell ref="A8:G8"/>
    <mergeCell ref="A11:B11"/>
    <mergeCell ref="A12:B12"/>
    <mergeCell ref="A13:B13"/>
    <mergeCell ref="A10:E10"/>
    <mergeCell ref="A15:B15"/>
    <mergeCell ref="A16:B16"/>
    <mergeCell ref="A18:B18"/>
    <mergeCell ref="B47:B48"/>
    <mergeCell ref="A14:B14"/>
  </mergeCells>
  <conditionalFormatting sqref="E21">
    <cfRule type="cellIs" dxfId="39" priority="1" operator="notBetween">
      <formula>IF(+$D$43&lt;300, -10.5%, -7.5%)</formula>
      <formula>IF(+$D$43&lt;300, 10.5%, 7.5%)</formula>
    </cfRule>
  </conditionalFormatting>
  <conditionalFormatting sqref="E22">
    <cfRule type="cellIs" dxfId="38" priority="2" operator="notBetween">
      <formula>IF(+$D$43&lt;300, -10.5%, -7.5%)</formula>
      <formula>IF(+$D$43&lt;300, 10.5%, 7.5%)</formula>
    </cfRule>
  </conditionalFormatting>
  <conditionalFormatting sqref="E23">
    <cfRule type="cellIs" dxfId="37" priority="3" operator="notBetween">
      <formula>IF(+$D$43&lt;300, -10.5%, -7.5%)</formula>
      <formula>IF(+$D$43&lt;300, 10.5%, 7.5%)</formula>
    </cfRule>
  </conditionalFormatting>
  <conditionalFormatting sqref="E24">
    <cfRule type="cellIs" dxfId="36" priority="4" operator="notBetween">
      <formula>IF(+$D$43&lt;300, -10.5%, -7.5%)</formula>
      <formula>IF(+$D$43&lt;300, 10.5%, 7.5%)</formula>
    </cfRule>
  </conditionalFormatting>
  <conditionalFormatting sqref="E25">
    <cfRule type="cellIs" dxfId="35" priority="5" operator="notBetween">
      <formula>IF(+$D$43&lt;300, -10.5%, -7.5%)</formula>
      <formula>IF(+$D$43&lt;300, 10.5%, 7.5%)</formula>
    </cfRule>
  </conditionalFormatting>
  <conditionalFormatting sqref="E26">
    <cfRule type="cellIs" dxfId="34" priority="6" operator="notBetween">
      <formula>IF(+$D$43&lt;300, -10.5%, -7.5%)</formula>
      <formula>IF(+$D$43&lt;300, 10.5%, 7.5%)</formula>
    </cfRule>
  </conditionalFormatting>
  <conditionalFormatting sqref="E27">
    <cfRule type="cellIs" dxfId="33" priority="7" operator="notBetween">
      <formula>IF(+$D$43&lt;300, -10.5%, -7.5%)</formula>
      <formula>IF(+$D$43&lt;300, 10.5%, 7.5%)</formula>
    </cfRule>
  </conditionalFormatting>
  <conditionalFormatting sqref="E28">
    <cfRule type="cellIs" dxfId="32" priority="8" operator="notBetween">
      <formula>IF(+$D$43&lt;300, -10.5%, -7.5%)</formula>
      <formula>IF(+$D$43&lt;300, 10.5%, 7.5%)</formula>
    </cfRule>
  </conditionalFormatting>
  <conditionalFormatting sqref="E29">
    <cfRule type="cellIs" dxfId="31" priority="9" operator="notBetween">
      <formula>IF(+$D$43&lt;300, -10.5%, -7.5%)</formula>
      <formula>IF(+$D$43&lt;300, 10.5%, 7.5%)</formula>
    </cfRule>
  </conditionalFormatting>
  <conditionalFormatting sqref="E30">
    <cfRule type="cellIs" dxfId="30" priority="10" operator="notBetween">
      <formula>IF(+$D$43&lt;300, -10.5%, -7.5%)</formula>
      <formula>IF(+$D$43&lt;300, 10.5%, 7.5%)</formula>
    </cfRule>
  </conditionalFormatting>
  <conditionalFormatting sqref="E31">
    <cfRule type="cellIs" dxfId="29" priority="11" operator="notBetween">
      <formula>IF(+$D$43&lt;300, -10.5%, -7.5%)</formula>
      <formula>IF(+$D$43&lt;300, 10.5%, 7.5%)</formula>
    </cfRule>
  </conditionalFormatting>
  <conditionalFormatting sqref="E32">
    <cfRule type="cellIs" dxfId="28" priority="12" operator="notBetween">
      <formula>IF(+$D$43&lt;300, -10.5%, -7.5%)</formula>
      <formula>IF(+$D$43&lt;300, 10.5%, 7.5%)</formula>
    </cfRule>
  </conditionalFormatting>
  <conditionalFormatting sqref="E33">
    <cfRule type="cellIs" dxfId="27" priority="13" operator="notBetween">
      <formula>IF(+$D$43&lt;300, -10.5%, -7.5%)</formula>
      <formula>IF(+$D$43&lt;300, 10.5%, 7.5%)</formula>
    </cfRule>
  </conditionalFormatting>
  <conditionalFormatting sqref="E34">
    <cfRule type="cellIs" dxfId="26" priority="14" operator="notBetween">
      <formula>IF(+$D$43&lt;300, -10.5%, -7.5%)</formula>
      <formula>IF(+$D$43&lt;300, 10.5%, 7.5%)</formula>
    </cfRule>
  </conditionalFormatting>
  <conditionalFormatting sqref="E35">
    <cfRule type="cellIs" dxfId="25" priority="15" operator="notBetween">
      <formula>IF(+$D$43&lt;300, -10.5%, -7.5%)</formula>
      <formula>IF(+$D$43&lt;300, 10.5%, 7.5%)</formula>
    </cfRule>
  </conditionalFormatting>
  <conditionalFormatting sqref="E36">
    <cfRule type="cellIs" dxfId="24" priority="16" operator="notBetween">
      <formula>IF(+$D$43&lt;300, -10.5%, -7.5%)</formula>
      <formula>IF(+$D$43&lt;300, 10.5%, 7.5%)</formula>
    </cfRule>
  </conditionalFormatting>
  <conditionalFormatting sqref="E37">
    <cfRule type="cellIs" dxfId="23" priority="17" operator="notBetween">
      <formula>IF(+$D$43&lt;300, -10.5%, -7.5%)</formula>
      <formula>IF(+$D$43&lt;300, 10.5%, 7.5%)</formula>
    </cfRule>
  </conditionalFormatting>
  <conditionalFormatting sqref="E38">
    <cfRule type="cellIs" dxfId="22" priority="18" operator="notBetween">
      <formula>IF(+$D$43&lt;300, -10.5%, -7.5%)</formula>
      <formula>IF(+$D$43&lt;300, 10.5%, 7.5%)</formula>
    </cfRule>
  </conditionalFormatting>
  <conditionalFormatting sqref="E39">
    <cfRule type="cellIs" dxfId="21" priority="19" operator="notBetween">
      <formula>IF(+$D$43&lt;300, -10.5%, -7.5%)</formula>
      <formula>IF(+$D$43&lt;300, 10.5%, 7.5%)</formula>
    </cfRule>
  </conditionalFormatting>
  <conditionalFormatting sqref="E40">
    <cfRule type="cellIs" dxfId="2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108" sqref="B10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58" t="s">
        <v>48</v>
      </c>
      <c r="B1" s="458"/>
      <c r="C1" s="458"/>
      <c r="D1" s="458"/>
      <c r="E1" s="458"/>
      <c r="F1" s="458"/>
      <c r="G1" s="458"/>
      <c r="H1" s="458"/>
      <c r="I1" s="458"/>
    </row>
    <row r="2" spans="1:9" ht="18.75" customHeight="1" x14ac:dyDescent="0.3">
      <c r="A2" s="458"/>
      <c r="B2" s="458"/>
      <c r="C2" s="458"/>
      <c r="D2" s="458"/>
      <c r="E2" s="458"/>
      <c r="F2" s="458"/>
      <c r="G2" s="458"/>
      <c r="H2" s="458"/>
      <c r="I2" s="458"/>
    </row>
    <row r="3" spans="1:9" ht="18.75" customHeight="1" x14ac:dyDescent="0.3">
      <c r="A3" s="458"/>
      <c r="B3" s="458"/>
      <c r="C3" s="458"/>
      <c r="D3" s="458"/>
      <c r="E3" s="458"/>
      <c r="F3" s="458"/>
      <c r="G3" s="458"/>
      <c r="H3" s="458"/>
      <c r="I3" s="458"/>
    </row>
    <row r="4" spans="1:9" ht="18.75" customHeight="1" x14ac:dyDescent="0.3">
      <c r="A4" s="458"/>
      <c r="B4" s="458"/>
      <c r="C4" s="458"/>
      <c r="D4" s="458"/>
      <c r="E4" s="458"/>
      <c r="F4" s="458"/>
      <c r="G4" s="458"/>
      <c r="H4" s="458"/>
      <c r="I4" s="458"/>
    </row>
    <row r="5" spans="1:9" ht="18.75" customHeight="1" x14ac:dyDescent="0.3">
      <c r="A5" s="458"/>
      <c r="B5" s="458"/>
      <c r="C5" s="458"/>
      <c r="D5" s="458"/>
      <c r="E5" s="458"/>
      <c r="F5" s="458"/>
      <c r="G5" s="458"/>
      <c r="H5" s="458"/>
      <c r="I5" s="458"/>
    </row>
    <row r="6" spans="1:9" ht="18.75" customHeight="1" x14ac:dyDescent="0.3">
      <c r="A6" s="458"/>
      <c r="B6" s="458"/>
      <c r="C6" s="458"/>
      <c r="D6" s="458"/>
      <c r="E6" s="458"/>
      <c r="F6" s="458"/>
      <c r="G6" s="458"/>
      <c r="H6" s="458"/>
      <c r="I6" s="458"/>
    </row>
    <row r="7" spans="1:9" ht="18.75" customHeight="1" x14ac:dyDescent="0.3">
      <c r="A7" s="458"/>
      <c r="B7" s="458"/>
      <c r="C7" s="458"/>
      <c r="D7" s="458"/>
      <c r="E7" s="458"/>
      <c r="F7" s="458"/>
      <c r="G7" s="458"/>
      <c r="H7" s="458"/>
      <c r="I7" s="458"/>
    </row>
    <row r="8" spans="1:9" x14ac:dyDescent="0.3">
      <c r="A8" s="459" t="s">
        <v>49</v>
      </c>
      <c r="B8" s="459"/>
      <c r="C8" s="459"/>
      <c r="D8" s="459"/>
      <c r="E8" s="459"/>
      <c r="F8" s="459"/>
      <c r="G8" s="459"/>
      <c r="H8" s="459"/>
      <c r="I8" s="459"/>
    </row>
    <row r="9" spans="1:9" x14ac:dyDescent="0.3">
      <c r="A9" s="459"/>
      <c r="B9" s="459"/>
      <c r="C9" s="459"/>
      <c r="D9" s="459"/>
      <c r="E9" s="459"/>
      <c r="F9" s="459"/>
      <c r="G9" s="459"/>
      <c r="H9" s="459"/>
      <c r="I9" s="459"/>
    </row>
    <row r="10" spans="1:9" x14ac:dyDescent="0.3">
      <c r="A10" s="459"/>
      <c r="B10" s="459"/>
      <c r="C10" s="459"/>
      <c r="D10" s="459"/>
      <c r="E10" s="459"/>
      <c r="F10" s="459"/>
      <c r="G10" s="459"/>
      <c r="H10" s="459"/>
      <c r="I10" s="459"/>
    </row>
    <row r="11" spans="1:9" x14ac:dyDescent="0.3">
      <c r="A11" s="459"/>
      <c r="B11" s="459"/>
      <c r="C11" s="459"/>
      <c r="D11" s="459"/>
      <c r="E11" s="459"/>
      <c r="F11" s="459"/>
      <c r="G11" s="459"/>
      <c r="H11" s="459"/>
      <c r="I11" s="459"/>
    </row>
    <row r="12" spans="1:9" x14ac:dyDescent="0.3">
      <c r="A12" s="459"/>
      <c r="B12" s="459"/>
      <c r="C12" s="459"/>
      <c r="D12" s="459"/>
      <c r="E12" s="459"/>
      <c r="F12" s="459"/>
      <c r="G12" s="459"/>
      <c r="H12" s="459"/>
      <c r="I12" s="459"/>
    </row>
    <row r="13" spans="1:9" x14ac:dyDescent="0.3">
      <c r="A13" s="459"/>
      <c r="B13" s="459"/>
      <c r="C13" s="459"/>
      <c r="D13" s="459"/>
      <c r="E13" s="459"/>
      <c r="F13" s="459"/>
      <c r="G13" s="459"/>
      <c r="H13" s="459"/>
      <c r="I13" s="459"/>
    </row>
    <row r="14" spans="1:9" x14ac:dyDescent="0.3">
      <c r="A14" s="459"/>
      <c r="B14" s="459"/>
      <c r="C14" s="459"/>
      <c r="D14" s="459"/>
      <c r="E14" s="459"/>
      <c r="F14" s="459"/>
      <c r="G14" s="459"/>
      <c r="H14" s="459"/>
      <c r="I14" s="459"/>
    </row>
    <row r="15" spans="1:9" ht="19.5" customHeight="1" x14ac:dyDescent="0.35">
      <c r="A15" s="89"/>
    </row>
    <row r="16" spans="1:9" ht="19.5" customHeight="1" x14ac:dyDescent="0.35">
      <c r="A16" s="431" t="s">
        <v>30</v>
      </c>
      <c r="B16" s="432"/>
      <c r="C16" s="432"/>
      <c r="D16" s="432"/>
      <c r="E16" s="432"/>
      <c r="F16" s="432"/>
      <c r="G16" s="432"/>
      <c r="H16" s="433"/>
    </row>
    <row r="17" spans="1:14" ht="20.25" customHeight="1" x14ac:dyDescent="0.3">
      <c r="A17" s="434" t="s">
        <v>50</v>
      </c>
      <c r="B17" s="434"/>
      <c r="C17" s="434"/>
      <c r="D17" s="434"/>
      <c r="E17" s="434"/>
      <c r="F17" s="434"/>
      <c r="G17" s="434"/>
      <c r="H17" s="434"/>
    </row>
    <row r="18" spans="1:14" ht="26.25" customHeight="1" x14ac:dyDescent="0.5">
      <c r="A18" s="91" t="s">
        <v>32</v>
      </c>
      <c r="B18" s="430" t="s">
        <v>5</v>
      </c>
      <c r="C18" s="430"/>
      <c r="D18" s="257"/>
      <c r="E18" s="92"/>
      <c r="F18" s="93"/>
      <c r="G18" s="93"/>
      <c r="H18" s="93"/>
    </row>
    <row r="19" spans="1:14" ht="26.25" customHeight="1" x14ac:dyDescent="0.5">
      <c r="A19" s="91" t="s">
        <v>33</v>
      </c>
      <c r="B19" s="94" t="s">
        <v>7</v>
      </c>
      <c r="C19" s="270">
        <v>29</v>
      </c>
      <c r="D19" s="93"/>
      <c r="E19" s="93"/>
      <c r="F19" s="93"/>
      <c r="G19" s="93"/>
      <c r="H19" s="93"/>
    </row>
    <row r="20" spans="1:14" ht="26.25" customHeight="1" x14ac:dyDescent="0.5">
      <c r="A20" s="91" t="s">
        <v>34</v>
      </c>
      <c r="B20" s="435" t="s">
        <v>127</v>
      </c>
      <c r="C20" s="435"/>
      <c r="D20" s="93"/>
      <c r="E20" s="93"/>
      <c r="F20" s="93"/>
      <c r="G20" s="93"/>
      <c r="H20" s="93"/>
    </row>
    <row r="21" spans="1:14" ht="26.25" customHeight="1" x14ac:dyDescent="0.5">
      <c r="A21" s="91" t="s">
        <v>35</v>
      </c>
      <c r="B21" s="435" t="s">
        <v>10</v>
      </c>
      <c r="C21" s="435"/>
      <c r="D21" s="435"/>
      <c r="E21" s="435"/>
      <c r="F21" s="435"/>
      <c r="G21" s="435"/>
      <c r="H21" s="435"/>
      <c r="I21" s="95"/>
    </row>
    <row r="22" spans="1:14" ht="26.25" customHeight="1" x14ac:dyDescent="0.5">
      <c r="A22" s="91" t="s">
        <v>36</v>
      </c>
      <c r="B22" s="96" t="s">
        <v>11</v>
      </c>
      <c r="C22" s="93"/>
      <c r="D22" s="93"/>
      <c r="E22" s="93"/>
      <c r="F22" s="93"/>
      <c r="G22" s="93"/>
      <c r="H22" s="93"/>
    </row>
    <row r="23" spans="1:14" ht="26.25" customHeight="1" x14ac:dyDescent="0.5">
      <c r="A23" s="91" t="s">
        <v>37</v>
      </c>
      <c r="B23" s="96"/>
      <c r="C23" s="93"/>
      <c r="D23" s="93"/>
      <c r="E23" s="93"/>
      <c r="F23" s="93"/>
      <c r="G23" s="93"/>
      <c r="H23" s="93"/>
    </row>
    <row r="24" spans="1:14" ht="18" x14ac:dyDescent="0.35">
      <c r="A24" s="91"/>
      <c r="B24" s="97"/>
    </row>
    <row r="25" spans="1:14" ht="18" x14ac:dyDescent="0.35">
      <c r="A25" s="98" t="s">
        <v>1</v>
      </c>
      <c r="B25" s="97"/>
    </row>
    <row r="26" spans="1:14" ht="26.25" customHeight="1" x14ac:dyDescent="0.45">
      <c r="A26" s="99" t="s">
        <v>4</v>
      </c>
      <c r="B26" s="430" t="s">
        <v>129</v>
      </c>
      <c r="C26" s="430"/>
    </row>
    <row r="27" spans="1:14" ht="26.25" customHeight="1" x14ac:dyDescent="0.45">
      <c r="A27" s="100" t="s">
        <v>51</v>
      </c>
      <c r="B27" s="436" t="s">
        <v>128</v>
      </c>
      <c r="C27" s="436"/>
    </row>
    <row r="28" spans="1:14" ht="27" customHeight="1" x14ac:dyDescent="0.45">
      <c r="A28" s="100" t="s">
        <v>6</v>
      </c>
      <c r="B28" s="101">
        <v>99.65</v>
      </c>
    </row>
    <row r="29" spans="1:14" s="14" customFormat="1" ht="27" customHeight="1" x14ac:dyDescent="0.5">
      <c r="A29" s="100" t="s">
        <v>52</v>
      </c>
      <c r="B29" s="102">
        <v>0</v>
      </c>
      <c r="C29" s="437" t="s">
        <v>53</v>
      </c>
      <c r="D29" s="438"/>
      <c r="E29" s="438"/>
      <c r="F29" s="438"/>
      <c r="G29" s="439"/>
      <c r="I29" s="103"/>
      <c r="J29" s="103"/>
      <c r="K29" s="103"/>
      <c r="L29" s="103"/>
    </row>
    <row r="30" spans="1:14" s="14" customFormat="1" ht="19.5" customHeight="1" x14ac:dyDescent="0.35">
      <c r="A30" s="100" t="s">
        <v>54</v>
      </c>
      <c r="B30" s="104">
        <f>B28-B29</f>
        <v>99.65</v>
      </c>
      <c r="C30" s="105"/>
      <c r="D30" s="105"/>
      <c r="E30" s="105"/>
      <c r="F30" s="105"/>
      <c r="G30" s="106"/>
      <c r="I30" s="103"/>
      <c r="J30" s="103"/>
      <c r="K30" s="103"/>
      <c r="L30" s="103"/>
    </row>
    <row r="31" spans="1:14" s="14" customFormat="1" ht="27" customHeight="1" x14ac:dyDescent="0.45">
      <c r="A31" s="100" t="s">
        <v>55</v>
      </c>
      <c r="B31" s="107">
        <v>1</v>
      </c>
      <c r="C31" s="440" t="s">
        <v>56</v>
      </c>
      <c r="D31" s="441"/>
      <c r="E31" s="441"/>
      <c r="F31" s="441"/>
      <c r="G31" s="441"/>
      <c r="H31" s="442"/>
      <c r="I31" s="103"/>
      <c r="J31" s="103"/>
      <c r="K31" s="103"/>
      <c r="L31" s="103"/>
    </row>
    <row r="32" spans="1:14" s="14" customFormat="1" ht="27" customHeight="1" x14ac:dyDescent="0.45">
      <c r="A32" s="100" t="s">
        <v>57</v>
      </c>
      <c r="B32" s="107">
        <v>1</v>
      </c>
      <c r="C32" s="440" t="s">
        <v>58</v>
      </c>
      <c r="D32" s="441"/>
      <c r="E32" s="441"/>
      <c r="F32" s="441"/>
      <c r="G32" s="441"/>
      <c r="H32" s="442"/>
      <c r="I32" s="103"/>
      <c r="J32" s="103"/>
      <c r="K32" s="103"/>
      <c r="L32" s="108"/>
      <c r="M32" s="108"/>
      <c r="N32" s="109"/>
    </row>
    <row r="33" spans="1:14" s="14" customFormat="1" ht="17.25" customHeight="1" x14ac:dyDescent="0.35">
      <c r="A33" s="100"/>
      <c r="B33" s="110"/>
      <c r="C33" s="111"/>
      <c r="D33" s="111"/>
      <c r="E33" s="111"/>
      <c r="F33" s="111"/>
      <c r="G33" s="111"/>
      <c r="H33" s="111"/>
      <c r="I33" s="103"/>
      <c r="J33" s="103"/>
      <c r="K33" s="103"/>
      <c r="L33" s="108"/>
      <c r="M33" s="108"/>
      <c r="N33" s="109"/>
    </row>
    <row r="34" spans="1:14" s="14" customFormat="1" ht="18" x14ac:dyDescent="0.35">
      <c r="A34" s="100" t="s">
        <v>59</v>
      </c>
      <c r="B34" s="112">
        <f>B31/B32</f>
        <v>1</v>
      </c>
      <c r="C34" s="90" t="s">
        <v>60</v>
      </c>
      <c r="D34" s="90"/>
      <c r="E34" s="90"/>
      <c r="F34" s="90"/>
      <c r="G34" s="90"/>
      <c r="I34" s="103"/>
      <c r="J34" s="103"/>
      <c r="K34" s="103"/>
      <c r="L34" s="108"/>
      <c r="M34" s="108"/>
      <c r="N34" s="109"/>
    </row>
    <row r="35" spans="1:14" s="14" customFormat="1" ht="19.5" customHeight="1" x14ac:dyDescent="0.35">
      <c r="A35" s="100"/>
      <c r="B35" s="104"/>
      <c r="G35" s="90"/>
      <c r="I35" s="103"/>
      <c r="J35" s="103"/>
      <c r="K35" s="103"/>
      <c r="L35" s="108"/>
      <c r="M35" s="108"/>
      <c r="N35" s="109"/>
    </row>
    <row r="36" spans="1:14" s="14" customFormat="1" ht="27" customHeight="1" x14ac:dyDescent="0.45">
      <c r="A36" s="113" t="s">
        <v>61</v>
      </c>
      <c r="B36" s="114">
        <v>100</v>
      </c>
      <c r="C36" s="90"/>
      <c r="D36" s="443" t="s">
        <v>62</v>
      </c>
      <c r="E36" s="444"/>
      <c r="F36" s="443" t="s">
        <v>63</v>
      </c>
      <c r="G36" s="445"/>
      <c r="J36" s="103"/>
      <c r="K36" s="103"/>
      <c r="L36" s="108"/>
      <c r="M36" s="108"/>
      <c r="N36" s="109"/>
    </row>
    <row r="37" spans="1:14" s="14" customFormat="1" ht="27" customHeight="1" x14ac:dyDescent="0.45">
      <c r="A37" s="115" t="s">
        <v>64</v>
      </c>
      <c r="B37" s="116">
        <v>4</v>
      </c>
      <c r="C37" s="117" t="s">
        <v>65</v>
      </c>
      <c r="D37" s="118" t="s">
        <v>66</v>
      </c>
      <c r="E37" s="119" t="s">
        <v>67</v>
      </c>
      <c r="F37" s="118" t="s">
        <v>66</v>
      </c>
      <c r="G37" s="120" t="s">
        <v>67</v>
      </c>
      <c r="I37" s="121" t="s">
        <v>68</v>
      </c>
      <c r="J37" s="103"/>
      <c r="K37" s="103"/>
      <c r="L37" s="108"/>
      <c r="M37" s="108"/>
      <c r="N37" s="109"/>
    </row>
    <row r="38" spans="1:14" s="14" customFormat="1" ht="26.25" customHeight="1" x14ac:dyDescent="0.45">
      <c r="A38" s="115" t="s">
        <v>69</v>
      </c>
      <c r="B38" s="116">
        <v>20</v>
      </c>
      <c r="C38" s="122">
        <v>1</v>
      </c>
      <c r="D38" s="123"/>
      <c r="E38" s="124" t="str">
        <f>IF(ISBLANK(D38),"-",$D$48/$D$45*D38)</f>
        <v>-</v>
      </c>
      <c r="F38" s="123"/>
      <c r="G38" s="125" t="str">
        <f>IF(ISBLANK(F38),"-",$D$48/$F$45*F38)</f>
        <v>-</v>
      </c>
      <c r="I38" s="126"/>
      <c r="J38" s="103"/>
      <c r="K38" s="103"/>
      <c r="L38" s="108"/>
      <c r="M38" s="108"/>
      <c r="N38" s="109"/>
    </row>
    <row r="39" spans="1:14" s="14" customFormat="1" ht="26.25" customHeight="1" x14ac:dyDescent="0.45">
      <c r="A39" s="115" t="s">
        <v>70</v>
      </c>
      <c r="B39" s="116">
        <v>1</v>
      </c>
      <c r="C39" s="127">
        <v>2</v>
      </c>
      <c r="D39" s="128"/>
      <c r="E39" s="129" t="str">
        <f>IF(ISBLANK(D39),"-",$D$48/$D$45*D39)</f>
        <v>-</v>
      </c>
      <c r="F39" s="128"/>
      <c r="G39" s="130" t="str">
        <f>IF(ISBLANK(F39),"-",$D$48/$F$45*F39)</f>
        <v>-</v>
      </c>
      <c r="I39" s="447" t="e">
        <f>ABS((F43/D43*D42)-F42)/D42</f>
        <v>#DIV/0!</v>
      </c>
      <c r="J39" s="103"/>
      <c r="K39" s="103"/>
      <c r="L39" s="108"/>
      <c r="M39" s="108"/>
      <c r="N39" s="109"/>
    </row>
    <row r="40" spans="1:14" ht="26.25" customHeight="1" x14ac:dyDescent="0.45">
      <c r="A40" s="115" t="s">
        <v>71</v>
      </c>
      <c r="B40" s="116">
        <v>1</v>
      </c>
      <c r="C40" s="127">
        <v>3</v>
      </c>
      <c r="D40" s="128"/>
      <c r="E40" s="129" t="str">
        <f>IF(ISBLANK(D40),"-",$D$48/$D$45*D40)</f>
        <v>-</v>
      </c>
      <c r="F40" s="128"/>
      <c r="G40" s="130" t="str">
        <f>IF(ISBLANK(F40),"-",$D$48/$F$45*F40)</f>
        <v>-</v>
      </c>
      <c r="I40" s="447"/>
      <c r="L40" s="108"/>
      <c r="M40" s="108"/>
      <c r="N40" s="131"/>
    </row>
    <row r="41" spans="1:14" ht="27" customHeight="1" x14ac:dyDescent="0.45">
      <c r="A41" s="115" t="s">
        <v>72</v>
      </c>
      <c r="B41" s="116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8"/>
      <c r="M41" s="108"/>
      <c r="N41" s="131"/>
    </row>
    <row r="42" spans="1:14" ht="27" customHeight="1" x14ac:dyDescent="0.45">
      <c r="A42" s="115" t="s">
        <v>73</v>
      </c>
      <c r="B42" s="116">
        <v>1</v>
      </c>
      <c r="C42" s="137" t="s">
        <v>74</v>
      </c>
      <c r="D42" s="138" t="e">
        <f>AVERAGE(D38:D41)</f>
        <v>#DIV/0!</v>
      </c>
      <c r="E42" s="139" t="e">
        <f>AVERAGE(E38:E41)</f>
        <v>#DIV/0!</v>
      </c>
      <c r="F42" s="138" t="e">
        <f>AVERAGE(F38:F41)</f>
        <v>#DIV/0!</v>
      </c>
      <c r="G42" s="140" t="e">
        <f>AVERAGE(G38:G41)</f>
        <v>#DIV/0!</v>
      </c>
      <c r="H42" s="141"/>
    </row>
    <row r="43" spans="1:14" ht="26.25" customHeight="1" x14ac:dyDescent="0.45">
      <c r="A43" s="115" t="s">
        <v>75</v>
      </c>
      <c r="B43" s="116">
        <v>1</v>
      </c>
      <c r="C43" s="142" t="s">
        <v>76</v>
      </c>
      <c r="D43" s="143">
        <v>24.5</v>
      </c>
      <c r="E43" s="131"/>
      <c r="F43" s="143">
        <v>25.39</v>
      </c>
      <c r="H43" s="141"/>
    </row>
    <row r="44" spans="1:14" ht="26.25" customHeight="1" x14ac:dyDescent="0.45">
      <c r="A44" s="115" t="s">
        <v>77</v>
      </c>
      <c r="B44" s="116">
        <v>1</v>
      </c>
      <c r="C44" s="144" t="s">
        <v>78</v>
      </c>
      <c r="D44" s="145">
        <f>D43*$B$34</f>
        <v>24.5</v>
      </c>
      <c r="E44" s="146"/>
      <c r="F44" s="145">
        <f>F43*$B$34</f>
        <v>25.39</v>
      </c>
      <c r="H44" s="141"/>
    </row>
    <row r="45" spans="1:14" ht="19.5" customHeight="1" x14ac:dyDescent="0.35">
      <c r="A45" s="115" t="s">
        <v>79</v>
      </c>
      <c r="B45" s="147">
        <f>(B44/B43)*(B42/B41)*(B40/B39)*(B38/B37)*B36</f>
        <v>500</v>
      </c>
      <c r="C45" s="144" t="s">
        <v>80</v>
      </c>
      <c r="D45" s="148">
        <f>D44*$B$30/100</f>
        <v>24.414250000000003</v>
      </c>
      <c r="E45" s="149"/>
      <c r="F45" s="148">
        <f>F44*$B$30/100</f>
        <v>25.301135000000002</v>
      </c>
      <c r="H45" s="141"/>
    </row>
    <row r="46" spans="1:14" ht="19.5" customHeight="1" x14ac:dyDescent="0.35">
      <c r="A46" s="448" t="s">
        <v>81</v>
      </c>
      <c r="B46" s="449"/>
      <c r="C46" s="144" t="s">
        <v>82</v>
      </c>
      <c r="D46" s="150">
        <f>D45/$B$45</f>
        <v>4.8828500000000004E-2</v>
      </c>
      <c r="E46" s="151"/>
      <c r="F46" s="152">
        <f>F45/$B$45</f>
        <v>5.0602270000000005E-2</v>
      </c>
      <c r="H46" s="141"/>
    </row>
    <row r="47" spans="1:14" ht="27" customHeight="1" x14ac:dyDescent="0.45">
      <c r="A47" s="450"/>
      <c r="B47" s="451"/>
      <c r="C47" s="153" t="s">
        <v>83</v>
      </c>
      <c r="D47" s="154">
        <v>0.05</v>
      </c>
      <c r="E47" s="155"/>
      <c r="F47" s="151"/>
      <c r="H47" s="141"/>
    </row>
    <row r="48" spans="1:14" ht="18" x14ac:dyDescent="0.35">
      <c r="C48" s="156" t="s">
        <v>84</v>
      </c>
      <c r="D48" s="148">
        <f>D47*$B$45</f>
        <v>25</v>
      </c>
      <c r="F48" s="157"/>
      <c r="H48" s="141"/>
    </row>
    <row r="49" spans="1:12" ht="19.5" customHeight="1" x14ac:dyDescent="0.35">
      <c r="C49" s="158" t="s">
        <v>85</v>
      </c>
      <c r="D49" s="159">
        <f>D48/B34</f>
        <v>25</v>
      </c>
      <c r="F49" s="157"/>
      <c r="H49" s="141"/>
    </row>
    <row r="50" spans="1:12" ht="18" x14ac:dyDescent="0.35">
      <c r="C50" s="113" t="s">
        <v>86</v>
      </c>
      <c r="D50" s="160" t="e">
        <f>AVERAGE(E38:E41,G38:G41)</f>
        <v>#DIV/0!</v>
      </c>
      <c r="F50" s="161"/>
      <c r="H50" s="141"/>
    </row>
    <row r="51" spans="1:12" ht="18" x14ac:dyDescent="0.35">
      <c r="C51" s="115" t="s">
        <v>87</v>
      </c>
      <c r="D51" s="162" t="e">
        <f>STDEV(E38:E41,G38:G41)/D50</f>
        <v>#DIV/0!</v>
      </c>
      <c r="F51" s="161"/>
      <c r="H51" s="141"/>
    </row>
    <row r="52" spans="1:12" ht="19.5" customHeight="1" x14ac:dyDescent="0.35">
      <c r="C52" s="163" t="s">
        <v>19</v>
      </c>
      <c r="D52" s="164">
        <f>COUNT(E38:E41,G38:G41)</f>
        <v>0</v>
      </c>
      <c r="F52" s="161"/>
    </row>
    <row r="54" spans="1:12" ht="18" x14ac:dyDescent="0.35">
      <c r="A54" s="165" t="s">
        <v>1</v>
      </c>
      <c r="B54" s="166" t="s">
        <v>88</v>
      </c>
    </row>
    <row r="55" spans="1:12" ht="18" x14ac:dyDescent="0.35">
      <c r="A55" s="90" t="s">
        <v>89</v>
      </c>
      <c r="B55" s="167" t="str">
        <f>B21</f>
        <v>Each capsule contains: Diclofenac Potassium 50mg</v>
      </c>
    </row>
    <row r="56" spans="1:12" ht="26.25" customHeight="1" x14ac:dyDescent="0.45">
      <c r="A56" s="168" t="s">
        <v>90</v>
      </c>
      <c r="B56" s="169">
        <v>50</v>
      </c>
      <c r="C56" s="90" t="str">
        <f>B20</f>
        <v xml:space="preserve">Diclofenac Potassium </v>
      </c>
      <c r="H56" s="170"/>
    </row>
    <row r="57" spans="1:12" ht="18" x14ac:dyDescent="0.35">
      <c r="A57" s="167" t="s">
        <v>91</v>
      </c>
      <c r="B57" s="258">
        <v>534.005</v>
      </c>
      <c r="H57" s="170"/>
    </row>
    <row r="58" spans="1:12" ht="19.5" customHeight="1" x14ac:dyDescent="0.35">
      <c r="H58" s="170"/>
    </row>
    <row r="59" spans="1:12" s="14" customFormat="1" ht="27" customHeight="1" x14ac:dyDescent="0.45">
      <c r="A59" s="113" t="s">
        <v>92</v>
      </c>
      <c r="B59" s="114">
        <v>1</v>
      </c>
      <c r="C59" s="90"/>
      <c r="D59" s="171" t="s">
        <v>93</v>
      </c>
      <c r="E59" s="172" t="s">
        <v>65</v>
      </c>
      <c r="F59" s="172" t="s">
        <v>66</v>
      </c>
      <c r="G59" s="172" t="s">
        <v>94</v>
      </c>
      <c r="H59" s="117" t="s">
        <v>95</v>
      </c>
      <c r="L59" s="103"/>
    </row>
    <row r="60" spans="1:12" s="14" customFormat="1" ht="26.25" customHeight="1" x14ac:dyDescent="0.45">
      <c r="A60" s="115" t="s">
        <v>96</v>
      </c>
      <c r="B60" s="116">
        <v>1</v>
      </c>
      <c r="C60" s="452" t="s">
        <v>97</v>
      </c>
      <c r="D60" s="455">
        <v>739.84</v>
      </c>
      <c r="E60" s="173">
        <v>1</v>
      </c>
      <c r="F60" s="174"/>
      <c r="G60" s="259" t="str">
        <f>IF(ISBLANK(F60),"-",(F60/$D$50*$D$47*$B$68)*($B$57/$D$60))</f>
        <v>-</v>
      </c>
      <c r="H60" s="175" t="str">
        <f t="shared" ref="H60:H71" si="0">IF(ISBLANK(F60),"-",G60/$B$56)</f>
        <v>-</v>
      </c>
      <c r="L60" s="103"/>
    </row>
    <row r="61" spans="1:12" s="14" customFormat="1" ht="26.25" customHeight="1" x14ac:dyDescent="0.45">
      <c r="A61" s="115" t="s">
        <v>98</v>
      </c>
      <c r="B61" s="116">
        <v>1</v>
      </c>
      <c r="C61" s="453"/>
      <c r="D61" s="456"/>
      <c r="E61" s="176">
        <v>2</v>
      </c>
      <c r="F61" s="128"/>
      <c r="G61" s="260" t="str">
        <f>IF(ISBLANK(F61),"-",(F61/$D$50*$D$47*$B$68)*($B$57/$D$60))</f>
        <v>-</v>
      </c>
      <c r="H61" s="177" t="str">
        <f t="shared" si="0"/>
        <v>-</v>
      </c>
      <c r="L61" s="103"/>
    </row>
    <row r="62" spans="1:12" s="14" customFormat="1" ht="26.25" customHeight="1" x14ac:dyDescent="0.45">
      <c r="A62" s="115" t="s">
        <v>99</v>
      </c>
      <c r="B62" s="116">
        <v>1</v>
      </c>
      <c r="C62" s="453"/>
      <c r="D62" s="456"/>
      <c r="E62" s="176">
        <v>3</v>
      </c>
      <c r="F62" s="178"/>
      <c r="G62" s="260" t="str">
        <f>IF(ISBLANK(F62),"-",(F62/$D$50*$D$47*$B$68)*($B$57/$D$60))</f>
        <v>-</v>
      </c>
      <c r="H62" s="177" t="str">
        <f t="shared" si="0"/>
        <v>-</v>
      </c>
      <c r="L62" s="103"/>
    </row>
    <row r="63" spans="1:12" ht="27" customHeight="1" x14ac:dyDescent="0.45">
      <c r="A63" s="115" t="s">
        <v>100</v>
      </c>
      <c r="B63" s="116">
        <v>1</v>
      </c>
      <c r="C63" s="454"/>
      <c r="D63" s="457"/>
      <c r="E63" s="179">
        <v>4</v>
      </c>
      <c r="F63" s="180"/>
      <c r="G63" s="260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5">
      <c r="A64" s="115" t="s">
        <v>101</v>
      </c>
      <c r="B64" s="116">
        <v>1</v>
      </c>
      <c r="C64" s="452" t="s">
        <v>102</v>
      </c>
      <c r="D64" s="455">
        <v>739.25</v>
      </c>
      <c r="E64" s="173">
        <v>1</v>
      </c>
      <c r="F64" s="174"/>
      <c r="G64" s="261" t="str">
        <f>IF(ISBLANK(F64),"-",(F64/$D$50*$D$47*$B$68)*($B$57/$D$64))</f>
        <v>-</v>
      </c>
      <c r="H64" s="181" t="str">
        <f t="shared" si="0"/>
        <v>-</v>
      </c>
    </row>
    <row r="65" spans="1:8" ht="26.25" customHeight="1" x14ac:dyDescent="0.45">
      <c r="A65" s="115" t="s">
        <v>103</v>
      </c>
      <c r="B65" s="116">
        <v>1</v>
      </c>
      <c r="C65" s="453"/>
      <c r="D65" s="456"/>
      <c r="E65" s="176">
        <v>2</v>
      </c>
      <c r="F65" s="128"/>
      <c r="G65" s="262" t="str">
        <f>IF(ISBLANK(F65),"-",(F65/$D$50*$D$47*$B$68)*($B$57/$D$64))</f>
        <v>-</v>
      </c>
      <c r="H65" s="182" t="str">
        <f t="shared" si="0"/>
        <v>-</v>
      </c>
    </row>
    <row r="66" spans="1:8" ht="26.25" customHeight="1" x14ac:dyDescent="0.45">
      <c r="A66" s="115" t="s">
        <v>104</v>
      </c>
      <c r="B66" s="116">
        <v>1</v>
      </c>
      <c r="C66" s="453"/>
      <c r="D66" s="456"/>
      <c r="E66" s="176">
        <v>3</v>
      </c>
      <c r="F66" s="128"/>
      <c r="G66" s="262" t="str">
        <f>IF(ISBLANK(F66),"-",(F66/$D$50*$D$47*$B$68)*($B$57/$D$64))</f>
        <v>-</v>
      </c>
      <c r="H66" s="182" t="str">
        <f t="shared" si="0"/>
        <v>-</v>
      </c>
    </row>
    <row r="67" spans="1:8" ht="27" customHeight="1" x14ac:dyDescent="0.45">
      <c r="A67" s="115" t="s">
        <v>105</v>
      </c>
      <c r="B67" s="116">
        <v>1</v>
      </c>
      <c r="C67" s="454"/>
      <c r="D67" s="457"/>
      <c r="E67" s="179">
        <v>4</v>
      </c>
      <c r="F67" s="180"/>
      <c r="G67" s="263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5">
      <c r="A68" s="115" t="s">
        <v>106</v>
      </c>
      <c r="B68" s="184">
        <f>(B67/B66)*(B65/B64)*(B63/B62)*(B61/B60)*B59</f>
        <v>1</v>
      </c>
      <c r="C68" s="452" t="s">
        <v>107</v>
      </c>
      <c r="D68" s="455">
        <v>732.45</v>
      </c>
      <c r="E68" s="173">
        <v>1</v>
      </c>
      <c r="F68" s="174"/>
      <c r="G68" s="261" t="str">
        <f>IF(ISBLANK(F68),"-",(F68/$D$50*$D$47*$B$68)*($B$57/$D$68))</f>
        <v>-</v>
      </c>
      <c r="H68" s="177" t="str">
        <f t="shared" si="0"/>
        <v>-</v>
      </c>
    </row>
    <row r="69" spans="1:8" ht="27" customHeight="1" x14ac:dyDescent="0.5">
      <c r="A69" s="163" t="s">
        <v>108</v>
      </c>
      <c r="B69" s="185">
        <f>(D47*B68)/B56*B57</f>
        <v>0.53400499999999995</v>
      </c>
      <c r="C69" s="453"/>
      <c r="D69" s="456"/>
      <c r="E69" s="176">
        <v>2</v>
      </c>
      <c r="F69" s="128"/>
      <c r="G69" s="262" t="str">
        <f>IF(ISBLANK(F69),"-",(F69/$D$50*$D$47*$B$68)*($B$57/$D$68))</f>
        <v>-</v>
      </c>
      <c r="H69" s="177" t="str">
        <f t="shared" si="0"/>
        <v>-</v>
      </c>
    </row>
    <row r="70" spans="1:8" ht="26.25" customHeight="1" x14ac:dyDescent="0.45">
      <c r="A70" s="465" t="s">
        <v>81</v>
      </c>
      <c r="B70" s="466"/>
      <c r="C70" s="453"/>
      <c r="D70" s="456"/>
      <c r="E70" s="176">
        <v>3</v>
      </c>
      <c r="F70" s="128"/>
      <c r="G70" s="262" t="str">
        <f>IF(ISBLANK(F70),"-",(F70/$D$50*$D$47*$B$68)*($B$57/$D$68))</f>
        <v>-</v>
      </c>
      <c r="H70" s="177" t="str">
        <f t="shared" si="0"/>
        <v>-</v>
      </c>
    </row>
    <row r="71" spans="1:8" ht="27" customHeight="1" x14ac:dyDescent="0.45">
      <c r="A71" s="467"/>
      <c r="B71" s="468"/>
      <c r="C71" s="464"/>
      <c r="D71" s="457"/>
      <c r="E71" s="179">
        <v>4</v>
      </c>
      <c r="F71" s="180"/>
      <c r="G71" s="263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5">
      <c r="A72" s="187"/>
      <c r="B72" s="187"/>
      <c r="C72" s="187"/>
      <c r="D72" s="187"/>
      <c r="E72" s="187"/>
      <c r="F72" s="189" t="s">
        <v>74</v>
      </c>
      <c r="G72" s="268" t="e">
        <f>AVERAGE(G60:G71)</f>
        <v>#DIV/0!</v>
      </c>
      <c r="H72" s="190" t="e">
        <f>AVERAGE(H60:H71)</f>
        <v>#DIV/0!</v>
      </c>
    </row>
    <row r="73" spans="1:8" ht="26.25" customHeight="1" x14ac:dyDescent="0.45">
      <c r="C73" s="187"/>
      <c r="D73" s="187"/>
      <c r="E73" s="187"/>
      <c r="F73" s="191" t="s">
        <v>87</v>
      </c>
      <c r="G73" s="264" t="e">
        <f>STDEV(G60:G71)/G72</f>
        <v>#DIV/0!</v>
      </c>
      <c r="H73" s="264" t="e">
        <f>STDEV(H60:H71)/H72</f>
        <v>#DIV/0!</v>
      </c>
    </row>
    <row r="74" spans="1:8" ht="27" customHeight="1" x14ac:dyDescent="0.45">
      <c r="A74" s="187"/>
      <c r="B74" s="187"/>
      <c r="C74" s="188"/>
      <c r="D74" s="188"/>
      <c r="E74" s="192"/>
      <c r="F74" s="193" t="s">
        <v>19</v>
      </c>
      <c r="G74" s="194">
        <f>COUNT(G60:G71)</f>
        <v>0</v>
      </c>
      <c r="H74" s="194">
        <f>COUNT(H60:H71)</f>
        <v>0</v>
      </c>
    </row>
    <row r="76" spans="1:8" ht="26.25" customHeight="1" x14ac:dyDescent="0.45">
      <c r="A76" s="99" t="s">
        <v>109</v>
      </c>
      <c r="B76" s="195" t="s">
        <v>110</v>
      </c>
      <c r="C76" s="460" t="str">
        <f>B20</f>
        <v xml:space="preserve">Diclofenac Potassium </v>
      </c>
      <c r="D76" s="460"/>
      <c r="E76" s="196" t="s">
        <v>111</v>
      </c>
      <c r="F76" s="196"/>
      <c r="G76" s="197" t="e">
        <f>H72</f>
        <v>#DIV/0!</v>
      </c>
      <c r="H76" s="198"/>
    </row>
    <row r="77" spans="1:8" ht="18" x14ac:dyDescent="0.35">
      <c r="A77" s="98" t="s">
        <v>112</v>
      </c>
      <c r="B77" s="98" t="s">
        <v>113</v>
      </c>
    </row>
    <row r="78" spans="1:8" ht="18" x14ac:dyDescent="0.35">
      <c r="A78" s="98"/>
      <c r="B78" s="98"/>
    </row>
    <row r="79" spans="1:8" ht="26.25" customHeight="1" x14ac:dyDescent="0.45">
      <c r="A79" s="99" t="s">
        <v>4</v>
      </c>
      <c r="B79" s="446" t="str">
        <f>B26</f>
        <v>Diclofenac Sodium</v>
      </c>
      <c r="C79" s="446"/>
    </row>
    <row r="80" spans="1:8" ht="26.25" customHeight="1" x14ac:dyDescent="0.45">
      <c r="A80" s="100" t="s">
        <v>51</v>
      </c>
      <c r="B80" s="446" t="str">
        <f>B27</f>
        <v>D6 6</v>
      </c>
      <c r="C80" s="446"/>
    </row>
    <row r="81" spans="1:12" ht="27" customHeight="1" x14ac:dyDescent="0.45">
      <c r="A81" s="100" t="s">
        <v>6</v>
      </c>
      <c r="B81" s="199">
        <f>B28</f>
        <v>99.65</v>
      </c>
    </row>
    <row r="82" spans="1:12" s="14" customFormat="1" ht="27" customHeight="1" x14ac:dyDescent="0.5">
      <c r="A82" s="100" t="s">
        <v>52</v>
      </c>
      <c r="B82" s="102">
        <v>0</v>
      </c>
      <c r="C82" s="437" t="s">
        <v>53</v>
      </c>
      <c r="D82" s="438"/>
      <c r="E82" s="438"/>
      <c r="F82" s="438"/>
      <c r="G82" s="439"/>
      <c r="I82" s="103"/>
      <c r="J82" s="103"/>
      <c r="K82" s="103"/>
      <c r="L82" s="103"/>
    </row>
    <row r="83" spans="1:12" s="14" customFormat="1" ht="19.5" customHeight="1" x14ac:dyDescent="0.35">
      <c r="A83" s="100" t="s">
        <v>54</v>
      </c>
      <c r="B83" s="104">
        <f>B81-B82</f>
        <v>99.65</v>
      </c>
      <c r="C83" s="105"/>
      <c r="D83" s="105"/>
      <c r="E83" s="105"/>
      <c r="F83" s="105"/>
      <c r="G83" s="106"/>
      <c r="I83" s="103"/>
      <c r="J83" s="103"/>
      <c r="K83" s="103"/>
      <c r="L83" s="103"/>
    </row>
    <row r="84" spans="1:12" s="14" customFormat="1" ht="27" customHeight="1" x14ac:dyDescent="0.45">
      <c r="A84" s="100" t="s">
        <v>55</v>
      </c>
      <c r="B84" s="295">
        <v>318.13046900000001</v>
      </c>
      <c r="C84" s="440" t="s">
        <v>114</v>
      </c>
      <c r="D84" s="441"/>
      <c r="E84" s="441"/>
      <c r="F84" s="441"/>
      <c r="G84" s="441"/>
      <c r="H84" s="442"/>
      <c r="I84" s="103"/>
      <c r="J84" s="103"/>
      <c r="K84" s="103"/>
      <c r="L84" s="103"/>
    </row>
    <row r="85" spans="1:12" s="14" customFormat="1" ht="27" customHeight="1" x14ac:dyDescent="0.45">
      <c r="A85" s="100" t="s">
        <v>57</v>
      </c>
      <c r="B85" s="295">
        <v>334.23899999999998</v>
      </c>
      <c r="C85" s="440" t="s">
        <v>115</v>
      </c>
      <c r="D85" s="441"/>
      <c r="E85" s="441"/>
      <c r="F85" s="441"/>
      <c r="G85" s="441"/>
      <c r="H85" s="442"/>
      <c r="I85" s="103"/>
      <c r="J85" s="103"/>
      <c r="K85" s="103"/>
      <c r="L85" s="103"/>
    </row>
    <row r="86" spans="1:12" s="14" customFormat="1" ht="18" x14ac:dyDescent="0.35">
      <c r="A86" s="100"/>
      <c r="B86" s="110"/>
      <c r="C86" s="111"/>
      <c r="D86" s="111"/>
      <c r="E86" s="111"/>
      <c r="F86" s="111"/>
      <c r="G86" s="111"/>
      <c r="H86" s="111"/>
      <c r="I86" s="103"/>
      <c r="J86" s="103"/>
      <c r="K86" s="103"/>
      <c r="L86" s="103"/>
    </row>
    <row r="87" spans="1:12" s="14" customFormat="1" ht="18" x14ac:dyDescent="0.35">
      <c r="A87" s="100" t="s">
        <v>59</v>
      </c>
      <c r="B87" s="112">
        <f>B84/B85</f>
        <v>0.95180535185899917</v>
      </c>
      <c r="C87" s="90" t="s">
        <v>60</v>
      </c>
      <c r="D87" s="90"/>
      <c r="E87" s="90"/>
      <c r="F87" s="90"/>
      <c r="G87" s="90"/>
      <c r="I87" s="103"/>
      <c r="J87" s="103"/>
      <c r="K87" s="103"/>
      <c r="L87" s="103"/>
    </row>
    <row r="88" spans="1:12" ht="19.5" customHeight="1" x14ac:dyDescent="0.35">
      <c r="A88" s="98"/>
      <c r="B88" s="98"/>
    </row>
    <row r="89" spans="1:12" ht="27" customHeight="1" x14ac:dyDescent="0.45">
      <c r="A89" s="113" t="s">
        <v>61</v>
      </c>
      <c r="B89" s="114">
        <v>50</v>
      </c>
      <c r="D89" s="200" t="s">
        <v>62</v>
      </c>
      <c r="E89" s="201"/>
      <c r="F89" s="443" t="s">
        <v>63</v>
      </c>
      <c r="G89" s="445"/>
    </row>
    <row r="90" spans="1:12" ht="27" customHeight="1" x14ac:dyDescent="0.45">
      <c r="A90" s="115" t="s">
        <v>64</v>
      </c>
      <c r="B90" s="116">
        <v>5</v>
      </c>
      <c r="C90" s="202" t="s">
        <v>65</v>
      </c>
      <c r="D90" s="118" t="s">
        <v>66</v>
      </c>
      <c r="E90" s="119" t="s">
        <v>67</v>
      </c>
      <c r="F90" s="118" t="s">
        <v>66</v>
      </c>
      <c r="G90" s="203" t="s">
        <v>67</v>
      </c>
      <c r="I90" s="121" t="s">
        <v>68</v>
      </c>
    </row>
    <row r="91" spans="1:12" ht="26.25" customHeight="1" x14ac:dyDescent="0.45">
      <c r="A91" s="115" t="s">
        <v>69</v>
      </c>
      <c r="B91" s="116">
        <v>20</v>
      </c>
      <c r="C91" s="204">
        <v>1</v>
      </c>
      <c r="D91" s="123">
        <v>106458460</v>
      </c>
      <c r="E91" s="124">
        <f>IF(ISBLANK(D91),"-",$D$101/$D$98*D91)</f>
        <v>142801308.8420811</v>
      </c>
      <c r="F91" s="123">
        <v>87093451</v>
      </c>
      <c r="G91" s="125">
        <f>IF(ISBLANK(F91),"-",$D$101/$F$98*F91)</f>
        <v>138813020.84282285</v>
      </c>
      <c r="I91" s="126"/>
    </row>
    <row r="92" spans="1:12" ht="26.25" customHeight="1" x14ac:dyDescent="0.45">
      <c r="A92" s="115" t="s">
        <v>70</v>
      </c>
      <c r="B92" s="116">
        <v>1</v>
      </c>
      <c r="C92" s="188">
        <v>2</v>
      </c>
      <c r="D92" s="128">
        <v>106847733</v>
      </c>
      <c r="E92" s="129">
        <f>IF(ISBLANK(D92),"-",$D$101/$D$98*D92)</f>
        <v>143323472.07736444</v>
      </c>
      <c r="F92" s="128">
        <v>87551541</v>
      </c>
      <c r="G92" s="130">
        <f>IF(ISBLANK(F92),"-",$D$101/$F$98*F92)</f>
        <v>139543142.98160329</v>
      </c>
      <c r="I92" s="447">
        <f>ABS((F96/D96*D95)-F95)/D95</f>
        <v>2.1404143733963946E-2</v>
      </c>
    </row>
    <row r="93" spans="1:12" ht="26.25" customHeight="1" x14ac:dyDescent="0.45">
      <c r="A93" s="115" t="s">
        <v>71</v>
      </c>
      <c r="B93" s="116">
        <v>1</v>
      </c>
      <c r="C93" s="188">
        <v>3</v>
      </c>
      <c r="D93" s="128">
        <v>106150624</v>
      </c>
      <c r="E93" s="129">
        <f>IF(ISBLANK(D93),"-",$D$101/$D$98*D93)</f>
        <v>142388383.61557761</v>
      </c>
      <c r="F93" s="128">
        <v>87373141</v>
      </c>
      <c r="G93" s="130">
        <f>IF(ISBLANK(F93),"-",$D$101/$F$98*F93)</f>
        <v>139258801.93604797</v>
      </c>
      <c r="I93" s="447"/>
    </row>
    <row r="94" spans="1:12" ht="27" customHeight="1" x14ac:dyDescent="0.45">
      <c r="A94" s="115" t="s">
        <v>72</v>
      </c>
      <c r="B94" s="116">
        <v>1</v>
      </c>
      <c r="C94" s="205">
        <v>4</v>
      </c>
      <c r="D94" s="133"/>
      <c r="E94" s="134" t="str">
        <f>IF(ISBLANK(D94),"-",$D$101/$D$98*D94)</f>
        <v>-</v>
      </c>
      <c r="F94" s="133"/>
      <c r="G94" s="135" t="str">
        <f>IF(ISBLANK(F94),"-",$D$101/$F$98*F94)</f>
        <v>-</v>
      </c>
      <c r="I94" s="136"/>
    </row>
    <row r="95" spans="1:12" ht="27" customHeight="1" x14ac:dyDescent="0.45">
      <c r="A95" s="115" t="s">
        <v>73</v>
      </c>
      <c r="B95" s="116">
        <v>1</v>
      </c>
      <c r="C95" s="206" t="s">
        <v>74</v>
      </c>
      <c r="D95" s="207">
        <f>AVERAGE(D91:D94)</f>
        <v>106485605.66666667</v>
      </c>
      <c r="E95" s="139">
        <f>AVERAGE(E91:E94)</f>
        <v>142837721.51167437</v>
      </c>
      <c r="F95" s="208">
        <f>AVERAGE(F91:F94)</f>
        <v>87339377.666666672</v>
      </c>
      <c r="G95" s="209">
        <f>AVERAGE(G91:G94)</f>
        <v>139204988.58682472</v>
      </c>
    </row>
    <row r="96" spans="1:12" ht="26.25" customHeight="1" x14ac:dyDescent="0.45">
      <c r="A96" s="115" t="s">
        <v>75</v>
      </c>
      <c r="B96" s="101">
        <v>1</v>
      </c>
      <c r="C96" s="210" t="s">
        <v>116</v>
      </c>
      <c r="D96" s="211">
        <v>10.48</v>
      </c>
      <c r="E96" s="131"/>
      <c r="F96" s="143">
        <v>8.82</v>
      </c>
    </row>
    <row r="97" spans="1:10" ht="26.25" customHeight="1" x14ac:dyDescent="0.45">
      <c r="A97" s="115" t="s">
        <v>77</v>
      </c>
      <c r="B97" s="101">
        <v>1</v>
      </c>
      <c r="C97" s="212" t="s">
        <v>117</v>
      </c>
      <c r="D97" s="213">
        <f>D96*$B$87</f>
        <v>9.9749200874823121</v>
      </c>
      <c r="E97" s="146"/>
      <c r="F97" s="145">
        <f>F96*$B$87</f>
        <v>8.3949232033963721</v>
      </c>
    </row>
    <row r="98" spans="1:10" ht="19.5" customHeight="1" x14ac:dyDescent="0.35">
      <c r="A98" s="115" t="s">
        <v>79</v>
      </c>
      <c r="B98" s="214">
        <f>(B97/B96)*(B95/B94)*(B93/B92)*(B91/B90)*B89</f>
        <v>200</v>
      </c>
      <c r="C98" s="212" t="s">
        <v>118</v>
      </c>
      <c r="D98" s="215">
        <f>D97*$B$83/100</f>
        <v>9.9400078671761243</v>
      </c>
      <c r="E98" s="149"/>
      <c r="F98" s="148">
        <f>F97*$B$83/100</f>
        <v>8.3655409721844851</v>
      </c>
    </row>
    <row r="99" spans="1:10" ht="19.5" customHeight="1" x14ac:dyDescent="0.35">
      <c r="A99" s="448" t="s">
        <v>81</v>
      </c>
      <c r="B99" s="462"/>
      <c r="C99" s="212" t="s">
        <v>119</v>
      </c>
      <c r="D99" s="216">
        <f>D98/$B$98</f>
        <v>4.9700039335880623E-2</v>
      </c>
      <c r="E99" s="149"/>
      <c r="F99" s="152">
        <f>F98/$B$98</f>
        <v>4.1827704860922424E-2</v>
      </c>
      <c r="G99" s="217"/>
      <c r="H99" s="141"/>
    </row>
    <row r="100" spans="1:10" ht="19.5" customHeight="1" x14ac:dyDescent="0.35">
      <c r="A100" s="450"/>
      <c r="B100" s="463"/>
      <c r="C100" s="212" t="s">
        <v>83</v>
      </c>
      <c r="D100" s="218">
        <f>$B$56/$B$116</f>
        <v>6.6666666666666666E-2</v>
      </c>
      <c r="F100" s="157"/>
      <c r="G100" s="219"/>
      <c r="H100" s="141"/>
    </row>
    <row r="101" spans="1:10" ht="18" x14ac:dyDescent="0.35">
      <c r="C101" s="212" t="s">
        <v>84</v>
      </c>
      <c r="D101" s="213">
        <f>D100*$B$98</f>
        <v>13.333333333333334</v>
      </c>
      <c r="F101" s="157"/>
      <c r="G101" s="217"/>
      <c r="H101" s="141"/>
    </row>
    <row r="102" spans="1:10" ht="19.5" customHeight="1" x14ac:dyDescent="0.35">
      <c r="C102" s="220" t="s">
        <v>85</v>
      </c>
      <c r="D102" s="221">
        <f>D101/B34</f>
        <v>13.333333333333334</v>
      </c>
      <c r="F102" s="161"/>
      <c r="G102" s="217"/>
      <c r="H102" s="141"/>
      <c r="J102" s="222"/>
    </row>
    <row r="103" spans="1:10" ht="18" x14ac:dyDescent="0.35">
      <c r="C103" s="223" t="s">
        <v>120</v>
      </c>
      <c r="D103" s="224">
        <f>AVERAGE(E91:E94,G91:G94)</f>
        <v>141021355.04924953</v>
      </c>
      <c r="F103" s="161"/>
      <c r="G103" s="225"/>
      <c r="H103" s="141"/>
      <c r="J103" s="226"/>
    </row>
    <row r="104" spans="1:10" ht="18" x14ac:dyDescent="0.35">
      <c r="C104" s="191" t="s">
        <v>87</v>
      </c>
      <c r="D104" s="227">
        <f>STDEV(E91:E94,G91:G94)/D103</f>
        <v>1.4360250339888119E-2</v>
      </c>
      <c r="F104" s="161"/>
      <c r="G104" s="217"/>
      <c r="H104" s="141"/>
      <c r="J104" s="226"/>
    </row>
    <row r="105" spans="1:10" ht="19.5" customHeight="1" x14ac:dyDescent="0.35">
      <c r="C105" s="193" t="s">
        <v>19</v>
      </c>
      <c r="D105" s="228">
        <f>COUNT(E91:E94,G91:G94)</f>
        <v>6</v>
      </c>
      <c r="F105" s="161"/>
      <c r="G105" s="217"/>
      <c r="H105" s="141"/>
      <c r="J105" s="226"/>
    </row>
    <row r="106" spans="1:10" ht="19.5" customHeight="1" x14ac:dyDescent="0.35">
      <c r="A106" s="165"/>
      <c r="B106" s="165"/>
      <c r="C106" s="165"/>
      <c r="D106" s="165"/>
      <c r="E106" s="165"/>
    </row>
    <row r="107" spans="1:10" ht="26.25" customHeight="1" x14ac:dyDescent="0.45">
      <c r="A107" s="113" t="s">
        <v>121</v>
      </c>
      <c r="B107" s="114">
        <v>750</v>
      </c>
      <c r="C107" s="229" t="s">
        <v>40</v>
      </c>
      <c r="D107" s="230" t="s">
        <v>66</v>
      </c>
      <c r="E107" s="231" t="s">
        <v>122</v>
      </c>
      <c r="F107" s="232" t="s">
        <v>123</v>
      </c>
    </row>
    <row r="108" spans="1:10" ht="26.25" customHeight="1" x14ac:dyDescent="0.45">
      <c r="A108" s="115" t="s">
        <v>124</v>
      </c>
      <c r="B108" s="116">
        <v>1</v>
      </c>
      <c r="C108" s="233">
        <v>1</v>
      </c>
      <c r="D108" s="234">
        <v>99028</v>
      </c>
      <c r="E108" s="265">
        <f t="shared" ref="E108:E113" si="1">IF(ISBLANK(D108),"-",D108/$D$103*$D$100*$B$116)</f>
        <v>3.5110994347422063E-2</v>
      </c>
      <c r="F108" s="235">
        <f t="shared" ref="F108:F113" si="2">IF(ISBLANK(D108), "-", E108/$B$56)</f>
        <v>7.0221988694844125E-4</v>
      </c>
    </row>
    <row r="109" spans="1:10" ht="26.25" customHeight="1" x14ac:dyDescent="0.45">
      <c r="A109" s="115" t="s">
        <v>98</v>
      </c>
      <c r="B109" s="116">
        <v>1</v>
      </c>
      <c r="C109" s="233">
        <v>2</v>
      </c>
      <c r="D109" s="234">
        <v>135802</v>
      </c>
      <c r="E109" s="266">
        <f t="shared" si="1"/>
        <v>4.8149445150549447E-2</v>
      </c>
      <c r="F109" s="236">
        <f t="shared" si="2"/>
        <v>9.6298890301098892E-4</v>
      </c>
    </row>
    <row r="110" spans="1:10" ht="26.25" customHeight="1" x14ac:dyDescent="0.45">
      <c r="A110" s="115" t="s">
        <v>99</v>
      </c>
      <c r="B110" s="116">
        <v>1</v>
      </c>
      <c r="C110" s="233">
        <v>3</v>
      </c>
      <c r="D110" s="234">
        <v>97065</v>
      </c>
      <c r="E110" s="266">
        <f t="shared" si="1"/>
        <v>3.441500046787295E-2</v>
      </c>
      <c r="F110" s="236">
        <f t="shared" si="2"/>
        <v>6.8830000935745901E-4</v>
      </c>
    </row>
    <row r="111" spans="1:10" ht="26.25" customHeight="1" x14ac:dyDescent="0.45">
      <c r="A111" s="115" t="s">
        <v>100</v>
      </c>
      <c r="B111" s="116">
        <v>1</v>
      </c>
      <c r="C111" s="233">
        <v>4</v>
      </c>
      <c r="D111" s="234">
        <v>72891</v>
      </c>
      <c r="E111" s="266">
        <f t="shared" si="1"/>
        <v>2.5843958163124989E-2</v>
      </c>
      <c r="F111" s="236">
        <f t="shared" si="2"/>
        <v>5.168791632624998E-4</v>
      </c>
    </row>
    <row r="112" spans="1:10" ht="26.25" customHeight="1" x14ac:dyDescent="0.45">
      <c r="A112" s="115" t="s">
        <v>101</v>
      </c>
      <c r="B112" s="116">
        <v>1</v>
      </c>
      <c r="C112" s="233">
        <v>5</v>
      </c>
      <c r="D112" s="234">
        <v>94397</v>
      </c>
      <c r="E112" s="266">
        <f t="shared" si="1"/>
        <v>3.3469044446152604E-2</v>
      </c>
      <c r="F112" s="236">
        <f t="shared" si="2"/>
        <v>6.6938088892305205E-4</v>
      </c>
    </row>
    <row r="113" spans="1:10" ht="26.25" customHeight="1" x14ac:dyDescent="0.45">
      <c r="A113" s="115" t="s">
        <v>103</v>
      </c>
      <c r="B113" s="116">
        <v>1</v>
      </c>
      <c r="C113" s="237">
        <v>6</v>
      </c>
      <c r="D113" s="238">
        <v>87929</v>
      </c>
      <c r="E113" s="267">
        <f t="shared" si="1"/>
        <v>3.1175774750317835E-2</v>
      </c>
      <c r="F113" s="239">
        <f t="shared" si="2"/>
        <v>6.235154950063567E-4</v>
      </c>
    </row>
    <row r="114" spans="1:10" ht="26.25" customHeight="1" x14ac:dyDescent="0.45">
      <c r="A114" s="115" t="s">
        <v>104</v>
      </c>
      <c r="B114" s="116">
        <v>1</v>
      </c>
      <c r="C114" s="233"/>
      <c r="D114" s="188"/>
      <c r="E114" s="89"/>
      <c r="F114" s="240"/>
    </row>
    <row r="115" spans="1:10" ht="26.25" customHeight="1" x14ac:dyDescent="0.45">
      <c r="A115" s="115" t="s">
        <v>105</v>
      </c>
      <c r="B115" s="116">
        <v>1</v>
      </c>
      <c r="C115" s="233"/>
      <c r="D115" s="241" t="s">
        <v>74</v>
      </c>
      <c r="E115" s="269">
        <f>AVERAGE(E108:E113)</f>
        <v>3.4694036220906652E-2</v>
      </c>
      <c r="F115" s="242">
        <f>AVERAGE(F108:F113)</f>
        <v>6.9388072441813303E-4</v>
      </c>
    </row>
    <row r="116" spans="1:10" ht="27" customHeight="1" x14ac:dyDescent="0.45">
      <c r="A116" s="115" t="s">
        <v>106</v>
      </c>
      <c r="B116" s="147">
        <f>(B115/B114)*(B113/B112)*(B111/B110)*(B109/B108)*B107</f>
        <v>750</v>
      </c>
      <c r="C116" s="243"/>
      <c r="D116" s="206" t="s">
        <v>87</v>
      </c>
      <c r="E116" s="244">
        <f>STDEV(E108:E113)/E115</f>
        <v>0.21317719180519445</v>
      </c>
      <c r="F116" s="244">
        <f>STDEV(F108:F113)/F115</f>
        <v>0.21317719180519526</v>
      </c>
      <c r="I116" s="89"/>
    </row>
    <row r="117" spans="1:10" ht="27" customHeight="1" x14ac:dyDescent="0.45">
      <c r="A117" s="448" t="s">
        <v>81</v>
      </c>
      <c r="B117" s="449"/>
      <c r="C117" s="245"/>
      <c r="D117" s="246" t="s">
        <v>19</v>
      </c>
      <c r="E117" s="247">
        <f>COUNT(E108:E113)</f>
        <v>6</v>
      </c>
      <c r="F117" s="247">
        <f>COUNT(F108:F113)</f>
        <v>6</v>
      </c>
      <c r="I117" s="89"/>
      <c r="J117" s="226"/>
    </row>
    <row r="118" spans="1:10" ht="19.5" customHeight="1" x14ac:dyDescent="0.35">
      <c r="A118" s="450"/>
      <c r="B118" s="451"/>
      <c r="C118" s="89"/>
      <c r="D118" s="89"/>
      <c r="E118" s="89"/>
      <c r="F118" s="188"/>
      <c r="G118" s="89"/>
      <c r="H118" s="89"/>
      <c r="I118" s="89"/>
    </row>
    <row r="119" spans="1:10" ht="18" x14ac:dyDescent="0.35">
      <c r="A119" s="256"/>
      <c r="B119" s="111"/>
      <c r="C119" s="89"/>
      <c r="D119" s="89"/>
      <c r="E119" s="89"/>
      <c r="F119" s="188"/>
      <c r="G119" s="89"/>
      <c r="H119" s="89"/>
      <c r="I119" s="89"/>
    </row>
    <row r="120" spans="1:10" ht="26.25" customHeight="1" x14ac:dyDescent="0.45">
      <c r="A120" s="99" t="s">
        <v>109</v>
      </c>
      <c r="B120" s="195" t="s">
        <v>125</v>
      </c>
      <c r="C120" s="460" t="str">
        <f>B20</f>
        <v xml:space="preserve">Diclofenac Potassium </v>
      </c>
      <c r="D120" s="460"/>
      <c r="E120" s="196" t="s">
        <v>126</v>
      </c>
      <c r="F120" s="196"/>
      <c r="G120" s="197">
        <f>F115</f>
        <v>6.9388072441813303E-4</v>
      </c>
      <c r="H120" s="89"/>
      <c r="I120" s="89"/>
    </row>
    <row r="121" spans="1:10" ht="19.5" customHeight="1" x14ac:dyDescent="0.35">
      <c r="A121" s="248"/>
      <c r="B121" s="248"/>
      <c r="C121" s="249"/>
      <c r="D121" s="249"/>
      <c r="E121" s="249"/>
      <c r="F121" s="249"/>
      <c r="G121" s="249"/>
      <c r="H121" s="249"/>
    </row>
    <row r="122" spans="1:10" ht="18" x14ac:dyDescent="0.35">
      <c r="B122" s="461" t="s">
        <v>25</v>
      </c>
      <c r="C122" s="461"/>
      <c r="E122" s="202" t="s">
        <v>26</v>
      </c>
      <c r="F122" s="250"/>
      <c r="G122" s="461" t="s">
        <v>27</v>
      </c>
      <c r="H122" s="461"/>
    </row>
    <row r="123" spans="1:10" ht="69.900000000000006" customHeight="1" x14ac:dyDescent="0.35">
      <c r="A123" s="251" t="s">
        <v>28</v>
      </c>
      <c r="B123" s="252"/>
      <c r="C123" s="252"/>
      <c r="E123" s="252"/>
      <c r="F123" s="89"/>
      <c r="G123" s="253"/>
      <c r="H123" s="253"/>
    </row>
    <row r="124" spans="1:10" ht="69.900000000000006" customHeight="1" x14ac:dyDescent="0.35">
      <c r="A124" s="251" t="s">
        <v>29</v>
      </c>
      <c r="B124" s="254"/>
      <c r="C124" s="254"/>
      <c r="E124" s="254"/>
      <c r="F124" s="89"/>
      <c r="G124" s="255"/>
      <c r="H124" s="255"/>
    </row>
    <row r="125" spans="1:10" ht="18" x14ac:dyDescent="0.35">
      <c r="A125" s="187"/>
      <c r="B125" s="187"/>
      <c r="C125" s="188"/>
      <c r="D125" s="188"/>
      <c r="E125" s="188"/>
      <c r="F125" s="192"/>
      <c r="G125" s="188"/>
      <c r="H125" s="188"/>
      <c r="I125" s="89"/>
    </row>
    <row r="126" spans="1:10" ht="18" x14ac:dyDescent="0.35">
      <c r="A126" s="187"/>
      <c r="B126" s="187"/>
      <c r="C126" s="188"/>
      <c r="D126" s="188"/>
      <c r="E126" s="188"/>
      <c r="F126" s="192"/>
      <c r="G126" s="188"/>
      <c r="H126" s="188"/>
      <c r="I126" s="89"/>
    </row>
    <row r="127" spans="1:10" ht="18" x14ac:dyDescent="0.35">
      <c r="A127" s="187"/>
      <c r="B127" s="187"/>
      <c r="C127" s="188"/>
      <c r="D127" s="188"/>
      <c r="E127" s="188"/>
      <c r="F127" s="192"/>
      <c r="G127" s="188"/>
      <c r="H127" s="188"/>
      <c r="I127" s="89"/>
    </row>
    <row r="128" spans="1:10" ht="18" x14ac:dyDescent="0.35">
      <c r="A128" s="187"/>
      <c r="B128" s="187"/>
      <c r="C128" s="188"/>
      <c r="D128" s="188"/>
      <c r="E128" s="188"/>
      <c r="F128" s="192"/>
      <c r="G128" s="188"/>
      <c r="H128" s="188"/>
      <c r="I128" s="89"/>
    </row>
    <row r="129" spans="1:9" ht="18" x14ac:dyDescent="0.35">
      <c r="A129" s="187"/>
      <c r="B129" s="187"/>
      <c r="C129" s="188"/>
      <c r="D129" s="188"/>
      <c r="E129" s="188"/>
      <c r="F129" s="192"/>
      <c r="G129" s="188"/>
      <c r="H129" s="188"/>
      <c r="I129" s="89"/>
    </row>
    <row r="130" spans="1:9" ht="18" x14ac:dyDescent="0.35">
      <c r="A130" s="187"/>
      <c r="B130" s="187"/>
      <c r="C130" s="188"/>
      <c r="D130" s="188"/>
      <c r="E130" s="188"/>
      <c r="F130" s="192"/>
      <c r="G130" s="188"/>
      <c r="H130" s="188"/>
      <c r="I130" s="89"/>
    </row>
    <row r="131" spans="1:9" ht="18" x14ac:dyDescent="0.35">
      <c r="A131" s="187"/>
      <c r="B131" s="187"/>
      <c r="C131" s="188"/>
      <c r="D131" s="188"/>
      <c r="E131" s="188"/>
      <c r="F131" s="192"/>
      <c r="G131" s="188"/>
      <c r="H131" s="188"/>
      <c r="I131" s="89"/>
    </row>
    <row r="132" spans="1:9" ht="18" x14ac:dyDescent="0.35">
      <c r="A132" s="187"/>
      <c r="B132" s="187"/>
      <c r="C132" s="188"/>
      <c r="D132" s="188"/>
      <c r="E132" s="188"/>
      <c r="F132" s="192"/>
      <c r="G132" s="188"/>
      <c r="H132" s="188"/>
      <c r="I132" s="89"/>
    </row>
    <row r="133" spans="1:9" ht="18" x14ac:dyDescent="0.35">
      <c r="A133" s="187"/>
      <c r="B133" s="187"/>
      <c r="C133" s="188"/>
      <c r="D133" s="188"/>
      <c r="E133" s="188"/>
      <c r="F133" s="192"/>
      <c r="G133" s="188"/>
      <c r="H133" s="188"/>
      <c r="I133" s="89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9" priority="1" operator="greaterThan">
      <formula>0.02</formula>
    </cfRule>
  </conditionalFormatting>
  <conditionalFormatting sqref="D51">
    <cfRule type="cellIs" dxfId="18" priority="2" operator="greaterThan">
      <formula>0.02</formula>
    </cfRule>
  </conditionalFormatting>
  <conditionalFormatting sqref="G73">
    <cfRule type="cellIs" dxfId="17" priority="3" operator="greaterThan">
      <formula>0.02</formula>
    </cfRule>
  </conditionalFormatting>
  <conditionalFormatting sqref="H73">
    <cfRule type="cellIs" dxfId="16" priority="4" operator="greaterThan">
      <formula>0.02</formula>
    </cfRule>
  </conditionalFormatting>
  <conditionalFormatting sqref="D104">
    <cfRule type="cellIs" dxfId="15" priority="5" operator="greaterThan">
      <formula>0.02</formula>
    </cfRule>
  </conditionalFormatting>
  <conditionalFormatting sqref="I39">
    <cfRule type="cellIs" dxfId="14" priority="6" operator="lessThanOrEqual">
      <formula>0.02</formula>
    </cfRule>
  </conditionalFormatting>
  <conditionalFormatting sqref="I39">
    <cfRule type="cellIs" dxfId="13" priority="7" operator="greaterThan">
      <formula>0.02</formula>
    </cfRule>
  </conditionalFormatting>
  <conditionalFormatting sqref="I92">
    <cfRule type="cellIs" dxfId="12" priority="8" operator="lessThanOrEqual">
      <formula>0.02</formula>
    </cfRule>
  </conditionalFormatting>
  <conditionalFormatting sqref="I92">
    <cfRule type="cellIs" dxfId="1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65" zoomScale="80" zoomScaleNormal="80" zoomScalePageLayoutView="70" workbookViewId="0">
      <selection activeCell="E78" sqref="E78"/>
    </sheetView>
  </sheetViews>
  <sheetFormatPr defaultColWidth="9.109375" defaultRowHeight="13.8" x14ac:dyDescent="0.3"/>
  <cols>
    <col min="1" max="1" width="55.44140625" style="217" customWidth="1"/>
    <col min="2" max="2" width="33.6640625" style="217" customWidth="1"/>
    <col min="3" max="3" width="50.6640625" style="217" bestFit="1" customWidth="1"/>
    <col min="4" max="4" width="30.5546875" style="217" customWidth="1"/>
    <col min="5" max="5" width="39.88671875" style="217" customWidth="1"/>
    <col min="6" max="6" width="30.6640625" style="217" customWidth="1"/>
    <col min="7" max="7" width="39.88671875" style="217" customWidth="1"/>
    <col min="8" max="8" width="30" style="217" customWidth="1"/>
    <col min="9" max="9" width="30.33203125" style="217" hidden="1" customWidth="1"/>
    <col min="10" max="10" width="30.44140625" style="217" customWidth="1"/>
    <col min="11" max="11" width="21.33203125" style="217" customWidth="1"/>
    <col min="12" max="12" width="9.109375" style="217"/>
    <col min="13" max="16384" width="9.109375" style="44"/>
  </cols>
  <sheetData>
    <row r="1" spans="1:9" ht="18.75" customHeight="1" x14ac:dyDescent="0.3">
      <c r="A1" s="458" t="s">
        <v>48</v>
      </c>
      <c r="B1" s="458"/>
      <c r="C1" s="458"/>
      <c r="D1" s="458"/>
      <c r="E1" s="458"/>
      <c r="F1" s="458"/>
      <c r="G1" s="458"/>
      <c r="H1" s="458"/>
      <c r="I1" s="458"/>
    </row>
    <row r="2" spans="1:9" ht="18.75" customHeight="1" x14ac:dyDescent="0.3">
      <c r="A2" s="458"/>
      <c r="B2" s="458"/>
      <c r="C2" s="458"/>
      <c r="D2" s="458"/>
      <c r="E2" s="458"/>
      <c r="F2" s="458"/>
      <c r="G2" s="458"/>
      <c r="H2" s="458"/>
      <c r="I2" s="458"/>
    </row>
    <row r="3" spans="1:9" ht="18.75" customHeight="1" x14ac:dyDescent="0.3">
      <c r="A3" s="458"/>
      <c r="B3" s="458"/>
      <c r="C3" s="458"/>
      <c r="D3" s="458"/>
      <c r="E3" s="458"/>
      <c r="F3" s="458"/>
      <c r="G3" s="458"/>
      <c r="H3" s="458"/>
      <c r="I3" s="458"/>
    </row>
    <row r="4" spans="1:9" ht="18.75" customHeight="1" x14ac:dyDescent="0.3">
      <c r="A4" s="458"/>
      <c r="B4" s="458"/>
      <c r="C4" s="458"/>
      <c r="D4" s="458"/>
      <c r="E4" s="458"/>
      <c r="F4" s="458"/>
      <c r="G4" s="458"/>
      <c r="H4" s="458"/>
      <c r="I4" s="458"/>
    </row>
    <row r="5" spans="1:9" ht="18.75" customHeight="1" x14ac:dyDescent="0.3">
      <c r="A5" s="458"/>
      <c r="B5" s="458"/>
      <c r="C5" s="458"/>
      <c r="D5" s="458"/>
      <c r="E5" s="458"/>
      <c r="F5" s="458"/>
      <c r="G5" s="458"/>
      <c r="H5" s="458"/>
      <c r="I5" s="458"/>
    </row>
    <row r="6" spans="1:9" ht="18.75" customHeight="1" x14ac:dyDescent="0.3">
      <c r="A6" s="458"/>
      <c r="B6" s="458"/>
      <c r="C6" s="458"/>
      <c r="D6" s="458"/>
      <c r="E6" s="458"/>
      <c r="F6" s="458"/>
      <c r="G6" s="458"/>
      <c r="H6" s="458"/>
      <c r="I6" s="458"/>
    </row>
    <row r="7" spans="1:9" ht="18.75" customHeight="1" x14ac:dyDescent="0.3">
      <c r="A7" s="458"/>
      <c r="B7" s="458"/>
      <c r="C7" s="458"/>
      <c r="D7" s="458"/>
      <c r="E7" s="458"/>
      <c r="F7" s="458"/>
      <c r="G7" s="458"/>
      <c r="H7" s="458"/>
      <c r="I7" s="458"/>
    </row>
    <row r="8" spans="1:9" x14ac:dyDescent="0.3">
      <c r="A8" s="459" t="s">
        <v>49</v>
      </c>
      <c r="B8" s="459"/>
      <c r="C8" s="459"/>
      <c r="D8" s="459"/>
      <c r="E8" s="459"/>
      <c r="F8" s="459"/>
      <c r="G8" s="459"/>
      <c r="H8" s="459"/>
      <c r="I8" s="459"/>
    </row>
    <row r="9" spans="1:9" x14ac:dyDescent="0.3">
      <c r="A9" s="459"/>
      <c r="B9" s="459"/>
      <c r="C9" s="459"/>
      <c r="D9" s="459"/>
      <c r="E9" s="459"/>
      <c r="F9" s="459"/>
      <c r="G9" s="459"/>
      <c r="H9" s="459"/>
      <c r="I9" s="459"/>
    </row>
    <row r="10" spans="1:9" x14ac:dyDescent="0.3">
      <c r="A10" s="459"/>
      <c r="B10" s="459"/>
      <c r="C10" s="459"/>
      <c r="D10" s="459"/>
      <c r="E10" s="459"/>
      <c r="F10" s="459"/>
      <c r="G10" s="459"/>
      <c r="H10" s="459"/>
      <c r="I10" s="459"/>
    </row>
    <row r="11" spans="1:9" x14ac:dyDescent="0.3">
      <c r="A11" s="459"/>
      <c r="B11" s="459"/>
      <c r="C11" s="459"/>
      <c r="D11" s="459"/>
      <c r="E11" s="459"/>
      <c r="F11" s="459"/>
      <c r="G11" s="459"/>
      <c r="H11" s="459"/>
      <c r="I11" s="459"/>
    </row>
    <row r="12" spans="1:9" x14ac:dyDescent="0.3">
      <c r="A12" s="459"/>
      <c r="B12" s="459"/>
      <c r="C12" s="459"/>
      <c r="D12" s="459"/>
      <c r="E12" s="459"/>
      <c r="F12" s="459"/>
      <c r="G12" s="459"/>
      <c r="H12" s="459"/>
      <c r="I12" s="459"/>
    </row>
    <row r="13" spans="1:9" x14ac:dyDescent="0.3">
      <c r="A13" s="459"/>
      <c r="B13" s="459"/>
      <c r="C13" s="459"/>
      <c r="D13" s="459"/>
      <c r="E13" s="459"/>
      <c r="F13" s="459"/>
      <c r="G13" s="459"/>
      <c r="H13" s="459"/>
      <c r="I13" s="459"/>
    </row>
    <row r="14" spans="1:9" x14ac:dyDescent="0.3">
      <c r="A14" s="459"/>
      <c r="B14" s="459"/>
      <c r="C14" s="459"/>
      <c r="D14" s="459"/>
      <c r="E14" s="459"/>
      <c r="F14" s="459"/>
      <c r="G14" s="459"/>
      <c r="H14" s="459"/>
      <c r="I14" s="459"/>
    </row>
    <row r="15" spans="1:9" ht="19.5" customHeight="1" thickBot="1" x14ac:dyDescent="0.4">
      <c r="A15" s="196"/>
    </row>
    <row r="16" spans="1:9" ht="19.5" customHeight="1" thickBot="1" x14ac:dyDescent="0.4">
      <c r="A16" s="431" t="s">
        <v>30</v>
      </c>
      <c r="B16" s="432"/>
      <c r="C16" s="432"/>
      <c r="D16" s="432"/>
      <c r="E16" s="432"/>
      <c r="F16" s="432"/>
      <c r="G16" s="432"/>
      <c r="H16" s="433"/>
    </row>
    <row r="17" spans="1:14" ht="20.25" customHeight="1" x14ac:dyDescent="0.3">
      <c r="A17" s="434" t="s">
        <v>50</v>
      </c>
      <c r="B17" s="434"/>
      <c r="C17" s="434"/>
      <c r="D17" s="434"/>
      <c r="E17" s="434"/>
      <c r="F17" s="434"/>
      <c r="G17" s="434"/>
      <c r="H17" s="434"/>
    </row>
    <row r="18" spans="1:14" ht="26.25" customHeight="1" x14ac:dyDescent="0.5">
      <c r="A18" s="91" t="s">
        <v>32</v>
      </c>
      <c r="B18" s="430" t="s">
        <v>5</v>
      </c>
      <c r="C18" s="430"/>
      <c r="D18" s="257"/>
      <c r="E18" s="92"/>
      <c r="F18" s="270"/>
      <c r="G18" s="270"/>
      <c r="H18" s="270"/>
    </row>
    <row r="19" spans="1:14" ht="26.25" customHeight="1" x14ac:dyDescent="0.5">
      <c r="A19" s="91" t="s">
        <v>33</v>
      </c>
      <c r="B19" s="275" t="s">
        <v>7</v>
      </c>
      <c r="C19" s="270">
        <v>29</v>
      </c>
      <c r="D19" s="270"/>
      <c r="E19" s="270"/>
      <c r="F19" s="270"/>
      <c r="G19" s="270"/>
      <c r="H19" s="270"/>
    </row>
    <row r="20" spans="1:14" ht="26.25" customHeight="1" x14ac:dyDescent="0.5">
      <c r="A20" s="91" t="s">
        <v>34</v>
      </c>
      <c r="B20" s="435" t="s">
        <v>127</v>
      </c>
      <c r="C20" s="435"/>
      <c r="D20" s="270"/>
      <c r="E20" s="270"/>
      <c r="F20" s="270"/>
      <c r="G20" s="270"/>
      <c r="H20" s="270"/>
    </row>
    <row r="21" spans="1:14" ht="26.25" customHeight="1" x14ac:dyDescent="0.5">
      <c r="A21" s="91" t="s">
        <v>35</v>
      </c>
      <c r="B21" s="435" t="s">
        <v>10</v>
      </c>
      <c r="C21" s="435"/>
      <c r="D21" s="435"/>
      <c r="E21" s="435"/>
      <c r="F21" s="435"/>
      <c r="G21" s="435"/>
      <c r="H21" s="435"/>
      <c r="I21" s="95"/>
    </row>
    <row r="22" spans="1:14" ht="26.25" customHeight="1" x14ac:dyDescent="0.5">
      <c r="A22" s="91" t="s">
        <v>36</v>
      </c>
      <c r="B22" s="96" t="s">
        <v>11</v>
      </c>
      <c r="C22" s="270"/>
      <c r="D22" s="270"/>
      <c r="E22" s="270"/>
      <c r="F22" s="270"/>
      <c r="G22" s="270"/>
      <c r="H22" s="270"/>
    </row>
    <row r="23" spans="1:14" ht="26.25" customHeight="1" x14ac:dyDescent="0.5">
      <c r="A23" s="91" t="s">
        <v>37</v>
      </c>
      <c r="B23" s="96"/>
      <c r="C23" s="270"/>
      <c r="D23" s="270"/>
      <c r="E23" s="270"/>
      <c r="F23" s="270"/>
      <c r="G23" s="270"/>
      <c r="H23" s="270"/>
    </row>
    <row r="24" spans="1:14" ht="18" x14ac:dyDescent="0.35">
      <c r="A24" s="91"/>
      <c r="B24" s="97"/>
    </row>
    <row r="25" spans="1:14" ht="18" x14ac:dyDescent="0.35">
      <c r="A25" s="98" t="s">
        <v>1</v>
      </c>
      <c r="B25" s="97"/>
    </row>
    <row r="26" spans="1:14" ht="26.25" customHeight="1" x14ac:dyDescent="0.45">
      <c r="A26" s="251" t="s">
        <v>4</v>
      </c>
      <c r="B26" s="469" t="s">
        <v>129</v>
      </c>
      <c r="C26" s="430"/>
    </row>
    <row r="27" spans="1:14" ht="26.25" customHeight="1" x14ac:dyDescent="0.45">
      <c r="A27" s="206" t="s">
        <v>51</v>
      </c>
      <c r="B27" s="436" t="s">
        <v>128</v>
      </c>
      <c r="C27" s="436"/>
    </row>
    <row r="28" spans="1:14" ht="27" customHeight="1" thickBot="1" x14ac:dyDescent="0.5">
      <c r="A28" s="206" t="s">
        <v>6</v>
      </c>
      <c r="B28" s="199">
        <v>99.65</v>
      </c>
    </row>
    <row r="29" spans="1:14" s="16" customFormat="1" ht="27" customHeight="1" thickBot="1" x14ac:dyDescent="0.55000000000000004">
      <c r="A29" s="206" t="s">
        <v>52</v>
      </c>
      <c r="B29" s="102">
        <v>0</v>
      </c>
      <c r="C29" s="437" t="s">
        <v>53</v>
      </c>
      <c r="D29" s="438"/>
      <c r="E29" s="438"/>
      <c r="F29" s="438"/>
      <c r="G29" s="439"/>
      <c r="I29" s="103"/>
      <c r="J29" s="103"/>
      <c r="K29" s="103"/>
      <c r="L29" s="103"/>
    </row>
    <row r="30" spans="1:14" s="16" customFormat="1" ht="19.5" customHeight="1" thickBot="1" x14ac:dyDescent="0.4">
      <c r="A30" s="206" t="s">
        <v>54</v>
      </c>
      <c r="B30" s="271">
        <f>B28-B29</f>
        <v>99.65</v>
      </c>
      <c r="C30" s="105"/>
      <c r="D30" s="105"/>
      <c r="E30" s="105"/>
      <c r="F30" s="105"/>
      <c r="G30" s="106"/>
      <c r="I30" s="103"/>
      <c r="J30" s="103"/>
      <c r="K30" s="103"/>
      <c r="L30" s="103"/>
    </row>
    <row r="31" spans="1:14" s="16" customFormat="1" ht="27" customHeight="1" thickBot="1" x14ac:dyDescent="0.5">
      <c r="A31" s="206" t="s">
        <v>142</v>
      </c>
      <c r="B31" s="107">
        <v>296.14699999999999</v>
      </c>
      <c r="C31" s="440" t="s">
        <v>56</v>
      </c>
      <c r="D31" s="441"/>
      <c r="E31" s="441"/>
      <c r="F31" s="441"/>
      <c r="G31" s="441"/>
      <c r="H31" s="442"/>
      <c r="I31" s="103"/>
      <c r="J31" s="103"/>
      <c r="K31" s="103"/>
      <c r="L31" s="103"/>
    </row>
    <row r="32" spans="1:14" s="16" customFormat="1" ht="27" customHeight="1" thickBot="1" x14ac:dyDescent="0.5">
      <c r="A32" s="206" t="s">
        <v>141</v>
      </c>
      <c r="B32" s="107">
        <v>318.12900000000002</v>
      </c>
      <c r="C32" s="440" t="s">
        <v>58</v>
      </c>
      <c r="D32" s="441"/>
      <c r="E32" s="441"/>
      <c r="F32" s="441"/>
      <c r="G32" s="441"/>
      <c r="H32" s="442"/>
      <c r="I32" s="103"/>
      <c r="J32" s="103"/>
      <c r="K32" s="103"/>
      <c r="L32" s="108"/>
      <c r="M32" s="108"/>
      <c r="N32" s="109"/>
    </row>
    <row r="33" spans="1:14" s="16" customFormat="1" ht="17.25" customHeight="1" x14ac:dyDescent="0.35">
      <c r="A33" s="206"/>
      <c r="B33" s="110"/>
      <c r="C33" s="111"/>
      <c r="D33" s="111"/>
      <c r="E33" s="111"/>
      <c r="F33" s="111"/>
      <c r="G33" s="111"/>
      <c r="H33" s="111"/>
      <c r="I33" s="103"/>
      <c r="J33" s="103"/>
      <c r="K33" s="103"/>
      <c r="L33" s="108"/>
      <c r="M33" s="108"/>
      <c r="N33" s="109"/>
    </row>
    <row r="34" spans="1:14" s="16" customFormat="1" ht="18" x14ac:dyDescent="0.35">
      <c r="A34" s="206" t="s">
        <v>139</v>
      </c>
      <c r="B34" s="112">
        <v>0.93090224405822786</v>
      </c>
      <c r="C34" s="196" t="s">
        <v>140</v>
      </c>
      <c r="D34" s="196"/>
      <c r="E34" s="196"/>
      <c r="F34" s="196"/>
      <c r="G34" s="196"/>
      <c r="I34" s="103"/>
      <c r="J34" s="103"/>
      <c r="K34" s="103"/>
      <c r="L34" s="108"/>
      <c r="M34" s="108"/>
      <c r="N34" s="109"/>
    </row>
    <row r="35" spans="1:14" s="16" customFormat="1" ht="19.5" customHeight="1" thickBot="1" x14ac:dyDescent="0.4">
      <c r="A35" s="206"/>
      <c r="B35" s="271"/>
      <c r="G35" s="196"/>
      <c r="I35" s="103"/>
      <c r="J35" s="103"/>
      <c r="K35" s="103"/>
      <c r="L35" s="108"/>
      <c r="M35" s="108"/>
      <c r="N35" s="109"/>
    </row>
    <row r="36" spans="1:14" s="16" customFormat="1" ht="27" customHeight="1" thickBot="1" x14ac:dyDescent="0.5">
      <c r="A36" s="113" t="s">
        <v>61</v>
      </c>
      <c r="B36" s="114">
        <v>1</v>
      </c>
      <c r="C36" s="196"/>
      <c r="D36" s="443" t="s">
        <v>62</v>
      </c>
      <c r="E36" s="444"/>
      <c r="F36" s="443" t="s">
        <v>63</v>
      </c>
      <c r="G36" s="445"/>
      <c r="J36" s="103"/>
      <c r="K36" s="103"/>
      <c r="L36" s="108"/>
      <c r="M36" s="108"/>
      <c r="N36" s="109"/>
    </row>
    <row r="37" spans="1:14" s="16" customFormat="1" ht="27" customHeight="1" thickBot="1" x14ac:dyDescent="0.5">
      <c r="A37" s="115" t="s">
        <v>64</v>
      </c>
      <c r="B37" s="116">
        <v>1</v>
      </c>
      <c r="C37" s="117" t="s">
        <v>65</v>
      </c>
      <c r="D37" s="118" t="s">
        <v>66</v>
      </c>
      <c r="E37" s="119" t="s">
        <v>67</v>
      </c>
      <c r="F37" s="118" t="s">
        <v>66</v>
      </c>
      <c r="G37" s="120" t="s">
        <v>67</v>
      </c>
      <c r="I37" s="121" t="s">
        <v>68</v>
      </c>
      <c r="J37" s="103"/>
      <c r="K37" s="103"/>
      <c r="L37" s="108"/>
      <c r="M37" s="108"/>
      <c r="N37" s="109"/>
    </row>
    <row r="38" spans="1:14" s="16" customFormat="1" ht="26.25" customHeight="1" x14ac:dyDescent="0.45">
      <c r="A38" s="115" t="s">
        <v>69</v>
      </c>
      <c r="B38" s="116">
        <v>1</v>
      </c>
      <c r="C38" s="122">
        <v>1</v>
      </c>
      <c r="D38" s="123"/>
      <c r="E38" s="124" t="str">
        <f>IF(ISBLANK(D38),"-",$D$48/$D$45*D38)</f>
        <v>-</v>
      </c>
      <c r="F38" s="123"/>
      <c r="G38" s="125" t="str">
        <f>IF(ISBLANK(F38),"-",$D$48/$F$45*F38)</f>
        <v>-</v>
      </c>
      <c r="I38" s="126"/>
      <c r="J38" s="103"/>
      <c r="K38" s="103"/>
      <c r="L38" s="108"/>
      <c r="M38" s="108"/>
      <c r="N38" s="109"/>
    </row>
    <row r="39" spans="1:14" s="16" customFormat="1" ht="26.25" customHeight="1" x14ac:dyDescent="0.45">
      <c r="A39" s="115" t="s">
        <v>70</v>
      </c>
      <c r="B39" s="116">
        <v>1</v>
      </c>
      <c r="C39" s="147">
        <v>2</v>
      </c>
      <c r="D39" s="128"/>
      <c r="E39" s="129" t="str">
        <f>IF(ISBLANK(D39),"-",$D$48/$D$45*D39)</f>
        <v>-</v>
      </c>
      <c r="F39" s="128"/>
      <c r="G39" s="130" t="str">
        <f>IF(ISBLANK(F39),"-",$D$48/$F$45*F39)</f>
        <v>-</v>
      </c>
      <c r="I39" s="447" t="e">
        <f>ABS((F43/D43*D42)-F42)/D42</f>
        <v>#DIV/0!</v>
      </c>
      <c r="J39" s="103"/>
      <c r="K39" s="103"/>
      <c r="L39" s="108"/>
      <c r="M39" s="108"/>
      <c r="N39" s="109"/>
    </row>
    <row r="40" spans="1:14" ht="26.25" customHeight="1" x14ac:dyDescent="0.45">
      <c r="A40" s="115" t="s">
        <v>71</v>
      </c>
      <c r="B40" s="116">
        <v>1</v>
      </c>
      <c r="C40" s="147">
        <v>3</v>
      </c>
      <c r="D40" s="128"/>
      <c r="E40" s="129" t="str">
        <f>IF(ISBLANK(D40),"-",$D$48/$D$45*D40)</f>
        <v>-</v>
      </c>
      <c r="F40" s="128"/>
      <c r="G40" s="130" t="str">
        <f>IF(ISBLANK(F40),"-",$D$48/$F$45*F40)</f>
        <v>-</v>
      </c>
      <c r="I40" s="447"/>
      <c r="L40" s="108"/>
      <c r="M40" s="108"/>
      <c r="N40" s="196"/>
    </row>
    <row r="41" spans="1:14" ht="27" customHeight="1" thickBot="1" x14ac:dyDescent="0.5">
      <c r="A41" s="115" t="s">
        <v>72</v>
      </c>
      <c r="B41" s="116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8"/>
      <c r="M41" s="108"/>
      <c r="N41" s="196"/>
    </row>
    <row r="42" spans="1:14" ht="27" customHeight="1" thickBot="1" x14ac:dyDescent="0.5">
      <c r="A42" s="115" t="s">
        <v>73</v>
      </c>
      <c r="B42" s="116">
        <v>1</v>
      </c>
      <c r="C42" s="137" t="s">
        <v>74</v>
      </c>
      <c r="D42" s="138" t="e">
        <f>AVERAGE(D38:D41)</f>
        <v>#DIV/0!</v>
      </c>
      <c r="E42" s="139" t="e">
        <f>AVERAGE(E38:E41)</f>
        <v>#DIV/0!</v>
      </c>
      <c r="F42" s="138" t="e">
        <f>AVERAGE(F38:F41)</f>
        <v>#DIV/0!</v>
      </c>
      <c r="G42" s="140" t="e">
        <f>AVERAGE(G38:G41)</f>
        <v>#DIV/0!</v>
      </c>
      <c r="H42" s="141"/>
    </row>
    <row r="43" spans="1:14" ht="26.25" customHeight="1" x14ac:dyDescent="0.45">
      <c r="A43" s="115" t="s">
        <v>75</v>
      </c>
      <c r="B43" s="116">
        <v>1</v>
      </c>
      <c r="C43" s="142" t="s">
        <v>76</v>
      </c>
      <c r="D43" s="143"/>
      <c r="E43" s="196"/>
      <c r="F43" s="143"/>
      <c r="H43" s="141"/>
    </row>
    <row r="44" spans="1:14" ht="26.25" customHeight="1" x14ac:dyDescent="0.45">
      <c r="A44" s="115" t="s">
        <v>77</v>
      </c>
      <c r="B44" s="116">
        <v>1</v>
      </c>
      <c r="C44" s="144" t="s">
        <v>78</v>
      </c>
      <c r="D44" s="145">
        <f>D43*$B$34</f>
        <v>0</v>
      </c>
      <c r="E44" s="214"/>
      <c r="F44" s="145">
        <f>F43*$B$34</f>
        <v>0</v>
      </c>
      <c r="H44" s="141"/>
    </row>
    <row r="45" spans="1:14" ht="19.5" customHeight="1" thickBot="1" x14ac:dyDescent="0.4">
      <c r="A45" s="115" t="s">
        <v>79</v>
      </c>
      <c r="B45" s="147">
        <f>(B44/B43)*(B42/B41)*(B40/B39)*(B38/B37)*B36</f>
        <v>1</v>
      </c>
      <c r="C45" s="144" t="s">
        <v>80</v>
      </c>
      <c r="D45" s="148">
        <f>D44*$B$30/100</f>
        <v>0</v>
      </c>
      <c r="E45" s="192"/>
      <c r="F45" s="148">
        <f>F44*$B$30/100</f>
        <v>0</v>
      </c>
      <c r="H45" s="141"/>
    </row>
    <row r="46" spans="1:14" ht="19.5" customHeight="1" thickBot="1" x14ac:dyDescent="0.4">
      <c r="A46" s="448" t="s">
        <v>81</v>
      </c>
      <c r="B46" s="449"/>
      <c r="C46" s="144" t="s">
        <v>82</v>
      </c>
      <c r="D46" s="150">
        <f>D45/$B$45</f>
        <v>0</v>
      </c>
      <c r="E46" s="151"/>
      <c r="F46" s="152">
        <f>F45/$B$45</f>
        <v>0</v>
      </c>
      <c r="H46" s="141"/>
    </row>
    <row r="47" spans="1:14" ht="27" customHeight="1" thickBot="1" x14ac:dyDescent="0.5">
      <c r="A47" s="450"/>
      <c r="B47" s="451"/>
      <c r="C47" s="153" t="s">
        <v>83</v>
      </c>
      <c r="D47" s="154">
        <v>0.05</v>
      </c>
      <c r="E47" s="155"/>
      <c r="F47" s="151"/>
      <c r="H47" s="141"/>
    </row>
    <row r="48" spans="1:14" ht="18" x14ac:dyDescent="0.35">
      <c r="C48" s="156" t="s">
        <v>84</v>
      </c>
      <c r="D48" s="148">
        <f>D47*$B$45</f>
        <v>0.05</v>
      </c>
      <c r="F48" s="157"/>
      <c r="H48" s="141"/>
    </row>
    <row r="49" spans="1:12" ht="19.5" customHeight="1" thickBot="1" x14ac:dyDescent="0.4">
      <c r="C49" s="158" t="s">
        <v>85</v>
      </c>
      <c r="D49" s="159">
        <f>D48/B34</f>
        <v>5.3711332547687472E-2</v>
      </c>
      <c r="F49" s="157"/>
      <c r="H49" s="141"/>
    </row>
    <row r="50" spans="1:12" ht="18" x14ac:dyDescent="0.35">
      <c r="C50" s="113" t="s">
        <v>86</v>
      </c>
      <c r="D50" s="160" t="e">
        <f>AVERAGE(E38:E41,G38:G41)</f>
        <v>#DIV/0!</v>
      </c>
      <c r="F50" s="161"/>
      <c r="H50" s="141"/>
    </row>
    <row r="51" spans="1:12" ht="18" x14ac:dyDescent="0.35">
      <c r="C51" s="115" t="s">
        <v>87</v>
      </c>
      <c r="D51" s="162" t="e">
        <f>STDEV(E38:E41,G38:G41)/D50</f>
        <v>#DIV/0!</v>
      </c>
      <c r="F51" s="161"/>
      <c r="H51" s="141"/>
    </row>
    <row r="52" spans="1:12" ht="19.5" customHeight="1" thickBot="1" x14ac:dyDescent="0.4">
      <c r="C52" s="163" t="s">
        <v>19</v>
      </c>
      <c r="D52" s="164">
        <f>COUNT(E38:E41,G38:G41)</f>
        <v>0</v>
      </c>
      <c r="F52" s="161"/>
    </row>
    <row r="54" spans="1:12" ht="18" x14ac:dyDescent="0.35">
      <c r="A54" s="165" t="s">
        <v>1</v>
      </c>
      <c r="B54" s="166" t="s">
        <v>88</v>
      </c>
    </row>
    <row r="55" spans="1:12" ht="18" x14ac:dyDescent="0.35">
      <c r="A55" s="196" t="s">
        <v>89</v>
      </c>
      <c r="B55" s="168" t="str">
        <f>B21</f>
        <v>Each capsule contains: Diclofenac Potassium 50mg</v>
      </c>
    </row>
    <row r="56" spans="1:12" ht="26.25" customHeight="1" x14ac:dyDescent="0.45">
      <c r="A56" s="168" t="s">
        <v>155</v>
      </c>
      <c r="B56" s="169">
        <v>50</v>
      </c>
      <c r="C56" s="196" t="str">
        <f>B20</f>
        <v xml:space="preserve">Diclofenac Potassium </v>
      </c>
      <c r="H56" s="214"/>
    </row>
    <row r="57" spans="1:12" ht="26.25" customHeight="1" x14ac:dyDescent="0.45">
      <c r="A57" s="168" t="s">
        <v>156</v>
      </c>
      <c r="B57" s="169">
        <v>44.301947420542902</v>
      </c>
      <c r="C57" s="196"/>
      <c r="H57" s="214"/>
    </row>
    <row r="58" spans="1:12" ht="19.5" customHeight="1" thickBot="1" x14ac:dyDescent="0.4">
      <c r="H58" s="214"/>
    </row>
    <row r="59" spans="1:12" s="16" customFormat="1" ht="27" customHeight="1" thickBot="1" x14ac:dyDescent="0.5">
      <c r="A59" s="113" t="s">
        <v>92</v>
      </c>
      <c r="B59" s="114">
        <v>1</v>
      </c>
      <c r="C59" s="196"/>
      <c r="D59" s="171" t="s">
        <v>93</v>
      </c>
      <c r="E59" s="172" t="s">
        <v>65</v>
      </c>
      <c r="F59" s="172" t="s">
        <v>66</v>
      </c>
      <c r="G59" s="172" t="s">
        <v>94</v>
      </c>
      <c r="H59" s="117" t="s">
        <v>95</v>
      </c>
      <c r="L59" s="103"/>
    </row>
    <row r="60" spans="1:12" s="16" customFormat="1" ht="26.25" customHeight="1" x14ac:dyDescent="0.45">
      <c r="A60" s="115" t="s">
        <v>96</v>
      </c>
      <c r="B60" s="116">
        <v>1</v>
      </c>
      <c r="C60" s="452" t="s">
        <v>97</v>
      </c>
      <c r="D60" s="455"/>
      <c r="E60" s="173">
        <v>1</v>
      </c>
      <c r="F60" s="174"/>
      <c r="G60" s="259" t="str">
        <f>IF(ISBLANK(F60),"-",(F60/$D$50*$D$47*$B$68)*(#REF!/$D$60))</f>
        <v>-</v>
      </c>
      <c r="H60" s="175" t="str">
        <f t="shared" ref="H60:H71" si="0">IF(ISBLANK(F60),"-",G60/$B$56)</f>
        <v>-</v>
      </c>
      <c r="L60" s="103"/>
    </row>
    <row r="61" spans="1:12" s="16" customFormat="1" ht="26.25" customHeight="1" x14ac:dyDescent="0.45">
      <c r="A61" s="115" t="s">
        <v>98</v>
      </c>
      <c r="B61" s="116">
        <v>1</v>
      </c>
      <c r="C61" s="453"/>
      <c r="D61" s="456"/>
      <c r="E61" s="176">
        <v>2</v>
      </c>
      <c r="F61" s="128"/>
      <c r="G61" s="260" t="str">
        <f>IF(ISBLANK(F61),"-",(F61/$D$50*$D$47*$B$68)*(#REF!/$D$60))</f>
        <v>-</v>
      </c>
      <c r="H61" s="177" t="str">
        <f t="shared" si="0"/>
        <v>-</v>
      </c>
      <c r="L61" s="103"/>
    </row>
    <row r="62" spans="1:12" s="16" customFormat="1" ht="26.25" customHeight="1" x14ac:dyDescent="0.45">
      <c r="A62" s="115" t="s">
        <v>99</v>
      </c>
      <c r="B62" s="116">
        <v>1</v>
      </c>
      <c r="C62" s="453"/>
      <c r="D62" s="456"/>
      <c r="E62" s="176">
        <v>3</v>
      </c>
      <c r="F62" s="178"/>
      <c r="G62" s="260" t="str">
        <f>IF(ISBLANK(F62),"-",(F62/$D$50*$D$47*$B$68)*(#REF!/$D$60))</f>
        <v>-</v>
      </c>
      <c r="H62" s="177" t="str">
        <f t="shared" si="0"/>
        <v>-</v>
      </c>
      <c r="L62" s="103"/>
    </row>
    <row r="63" spans="1:12" ht="27" customHeight="1" thickBot="1" x14ac:dyDescent="0.5">
      <c r="A63" s="115" t="s">
        <v>100</v>
      </c>
      <c r="B63" s="116">
        <v>1</v>
      </c>
      <c r="C63" s="454"/>
      <c r="D63" s="457"/>
      <c r="E63" s="179">
        <v>4</v>
      </c>
      <c r="F63" s="180"/>
      <c r="G63" s="260" t="str">
        <f>IF(ISBLANK(F63),"-",(F63/$D$50*$D$47*$B$68)*(#REF!/$D$60))</f>
        <v>-</v>
      </c>
      <c r="H63" s="177" t="str">
        <f t="shared" si="0"/>
        <v>-</v>
      </c>
    </row>
    <row r="64" spans="1:12" ht="26.25" customHeight="1" x14ac:dyDescent="0.45">
      <c r="A64" s="115" t="s">
        <v>101</v>
      </c>
      <c r="B64" s="116">
        <v>1</v>
      </c>
      <c r="C64" s="452" t="s">
        <v>102</v>
      </c>
      <c r="D64" s="455"/>
      <c r="E64" s="173">
        <v>1</v>
      </c>
      <c r="F64" s="174"/>
      <c r="G64" s="261" t="str">
        <f>IF(ISBLANK(F64),"-",(F64/$D$50*$D$47*$B$68)*(#REF!/$D$64))</f>
        <v>-</v>
      </c>
      <c r="H64" s="181" t="str">
        <f t="shared" si="0"/>
        <v>-</v>
      </c>
    </row>
    <row r="65" spans="1:8" ht="26.25" customHeight="1" x14ac:dyDescent="0.45">
      <c r="A65" s="115" t="s">
        <v>103</v>
      </c>
      <c r="B65" s="116">
        <v>1</v>
      </c>
      <c r="C65" s="453"/>
      <c r="D65" s="456"/>
      <c r="E65" s="176">
        <v>2</v>
      </c>
      <c r="F65" s="128"/>
      <c r="G65" s="262" t="str">
        <f>IF(ISBLANK(F65),"-",(F65/$D$50*$D$47*$B$68)*(#REF!/$D$64))</f>
        <v>-</v>
      </c>
      <c r="H65" s="182" t="str">
        <f t="shared" si="0"/>
        <v>-</v>
      </c>
    </row>
    <row r="66" spans="1:8" ht="26.25" customHeight="1" x14ac:dyDescent="0.45">
      <c r="A66" s="115" t="s">
        <v>104</v>
      </c>
      <c r="B66" s="116">
        <v>1</v>
      </c>
      <c r="C66" s="453"/>
      <c r="D66" s="456"/>
      <c r="E66" s="176">
        <v>3</v>
      </c>
      <c r="F66" s="128"/>
      <c r="G66" s="262" t="str">
        <f>IF(ISBLANK(F66),"-",(F66/$D$50*$D$47*$B$68)*(#REF!/$D$64))</f>
        <v>-</v>
      </c>
      <c r="H66" s="182" t="str">
        <f t="shared" si="0"/>
        <v>-</v>
      </c>
    </row>
    <row r="67" spans="1:8" ht="27" customHeight="1" thickBot="1" x14ac:dyDescent="0.5">
      <c r="A67" s="115" t="s">
        <v>105</v>
      </c>
      <c r="B67" s="116">
        <v>1</v>
      </c>
      <c r="C67" s="454"/>
      <c r="D67" s="457"/>
      <c r="E67" s="179">
        <v>4</v>
      </c>
      <c r="F67" s="180"/>
      <c r="G67" s="263" t="str">
        <f>IF(ISBLANK(F67),"-",(F67/$D$50*$D$47*$B$68)*(#REF!/$D$64))</f>
        <v>-</v>
      </c>
      <c r="H67" s="183" t="str">
        <f t="shared" si="0"/>
        <v>-</v>
      </c>
    </row>
    <row r="68" spans="1:8" ht="26.25" customHeight="1" x14ac:dyDescent="0.5">
      <c r="A68" s="115" t="s">
        <v>106</v>
      </c>
      <c r="B68" s="184">
        <f>(B67/B66)*(B65/B64)*(B63/B62)*(B61/B60)*B59</f>
        <v>1</v>
      </c>
      <c r="C68" s="452" t="s">
        <v>107</v>
      </c>
      <c r="D68" s="455"/>
      <c r="E68" s="173">
        <v>1</v>
      </c>
      <c r="F68" s="174"/>
      <c r="G68" s="261" t="str">
        <f>IF(ISBLANK(F68),"-",(F68/$D$50*$D$47*$B$68)*(#REF!/$D$68))</f>
        <v>-</v>
      </c>
      <c r="H68" s="177" t="str">
        <f t="shared" si="0"/>
        <v>-</v>
      </c>
    </row>
    <row r="69" spans="1:8" ht="27" customHeight="1" thickBot="1" x14ac:dyDescent="0.55000000000000004">
      <c r="A69" s="163" t="s">
        <v>108</v>
      </c>
      <c r="B69" s="185" t="e">
        <f>(D47*B68)/B56*#REF!</f>
        <v>#REF!</v>
      </c>
      <c r="C69" s="453"/>
      <c r="D69" s="456"/>
      <c r="E69" s="176">
        <v>2</v>
      </c>
      <c r="F69" s="128"/>
      <c r="G69" s="262" t="str">
        <f>IF(ISBLANK(F69),"-",(F69/$D$50*$D$47*$B$68)*(#REF!/$D$68))</f>
        <v>-</v>
      </c>
      <c r="H69" s="177" t="str">
        <f t="shared" si="0"/>
        <v>-</v>
      </c>
    </row>
    <row r="70" spans="1:8" ht="26.25" customHeight="1" x14ac:dyDescent="0.45">
      <c r="A70" s="465" t="s">
        <v>81</v>
      </c>
      <c r="B70" s="466"/>
      <c r="C70" s="453"/>
      <c r="D70" s="456"/>
      <c r="E70" s="176">
        <v>3</v>
      </c>
      <c r="F70" s="128"/>
      <c r="G70" s="262" t="str">
        <f>IF(ISBLANK(F70),"-",(F70/$D$50*$D$47*$B$68)*(#REF!/$D$68))</f>
        <v>-</v>
      </c>
      <c r="H70" s="177" t="str">
        <f t="shared" si="0"/>
        <v>-</v>
      </c>
    </row>
    <row r="71" spans="1:8" ht="27" customHeight="1" thickBot="1" x14ac:dyDescent="0.5">
      <c r="A71" s="467"/>
      <c r="B71" s="468"/>
      <c r="C71" s="464"/>
      <c r="D71" s="457"/>
      <c r="E71" s="179">
        <v>4</v>
      </c>
      <c r="F71" s="180"/>
      <c r="G71" s="263" t="str">
        <f>IF(ISBLANK(F71),"-",(F71/$D$50*$D$47*$B$68)*(#REF!/$D$68))</f>
        <v>-</v>
      </c>
      <c r="H71" s="186" t="str">
        <f t="shared" si="0"/>
        <v>-</v>
      </c>
    </row>
    <row r="72" spans="1:8" ht="26.25" customHeight="1" x14ac:dyDescent="0.45">
      <c r="A72" s="214"/>
      <c r="B72" s="214"/>
      <c r="C72" s="214"/>
      <c r="D72" s="214"/>
      <c r="E72" s="214"/>
      <c r="F72" s="189" t="s">
        <v>74</v>
      </c>
      <c r="G72" s="268" t="e">
        <f>AVERAGE(G60:G71)</f>
        <v>#DIV/0!</v>
      </c>
      <c r="H72" s="190" t="e">
        <f>AVERAGE(H60:H71)</f>
        <v>#DIV/0!</v>
      </c>
    </row>
    <row r="73" spans="1:8" ht="26.25" customHeight="1" x14ac:dyDescent="0.45">
      <c r="C73" s="214"/>
      <c r="D73" s="214"/>
      <c r="E73" s="214"/>
      <c r="F73" s="191" t="s">
        <v>87</v>
      </c>
      <c r="G73" s="264" t="e">
        <f>STDEV(G60:G71)/G72</f>
        <v>#DIV/0!</v>
      </c>
      <c r="H73" s="264" t="e">
        <f>STDEV(H60:H71)/H72</f>
        <v>#DIV/0!</v>
      </c>
    </row>
    <row r="74" spans="1:8" ht="27" customHeight="1" thickBot="1" x14ac:dyDescent="0.5">
      <c r="A74" s="214"/>
      <c r="B74" s="214"/>
      <c r="C74" s="214"/>
      <c r="D74" s="214"/>
      <c r="E74" s="192"/>
      <c r="F74" s="193" t="s">
        <v>19</v>
      </c>
      <c r="G74" s="194">
        <f>COUNT(G60:G71)</f>
        <v>0</v>
      </c>
      <c r="H74" s="194">
        <f>COUNT(H60:H71)</f>
        <v>0</v>
      </c>
    </row>
    <row r="76" spans="1:8" ht="26.25" customHeight="1" x14ac:dyDescent="0.45">
      <c r="A76" s="251" t="s">
        <v>109</v>
      </c>
      <c r="B76" s="206" t="s">
        <v>110</v>
      </c>
      <c r="C76" s="460" t="str">
        <f>B20</f>
        <v xml:space="preserve">Diclofenac Potassium </v>
      </c>
      <c r="D76" s="460"/>
      <c r="E76" s="196" t="s">
        <v>111</v>
      </c>
      <c r="F76" s="196"/>
      <c r="G76" s="197" t="e">
        <f>H72</f>
        <v>#DIV/0!</v>
      </c>
      <c r="H76" s="271"/>
    </row>
    <row r="77" spans="1:8" ht="18" x14ac:dyDescent="0.35">
      <c r="A77" s="98" t="s">
        <v>112</v>
      </c>
      <c r="B77" s="98" t="s">
        <v>113</v>
      </c>
    </row>
    <row r="78" spans="1:8" ht="18" x14ac:dyDescent="0.35">
      <c r="A78" s="98"/>
      <c r="B78" s="98"/>
    </row>
    <row r="79" spans="1:8" ht="26.25" customHeight="1" x14ac:dyDescent="0.45">
      <c r="A79" s="251" t="s">
        <v>4</v>
      </c>
      <c r="B79" s="446" t="str">
        <f>B26</f>
        <v>Diclofenac Sodium</v>
      </c>
      <c r="C79" s="446"/>
    </row>
    <row r="80" spans="1:8" ht="26.25" customHeight="1" x14ac:dyDescent="0.45">
      <c r="A80" s="206" t="s">
        <v>51</v>
      </c>
      <c r="B80" s="446" t="str">
        <f>B27</f>
        <v>D6 6</v>
      </c>
      <c r="C80" s="446"/>
    </row>
    <row r="81" spans="1:12" ht="27" customHeight="1" thickBot="1" x14ac:dyDescent="0.5">
      <c r="A81" s="206" t="s">
        <v>6</v>
      </c>
      <c r="B81" s="199">
        <f>B28</f>
        <v>99.65</v>
      </c>
    </row>
    <row r="82" spans="1:12" s="16" customFormat="1" ht="27" customHeight="1" thickBot="1" x14ac:dyDescent="0.55000000000000004">
      <c r="A82" s="206" t="s">
        <v>52</v>
      </c>
      <c r="B82" s="102">
        <v>0</v>
      </c>
      <c r="C82" s="437" t="s">
        <v>53</v>
      </c>
      <c r="D82" s="438"/>
      <c r="E82" s="438"/>
      <c r="F82" s="438"/>
      <c r="G82" s="439"/>
      <c r="I82" s="103"/>
      <c r="J82" s="103"/>
      <c r="K82" s="103"/>
      <c r="L82" s="103"/>
    </row>
    <row r="83" spans="1:12" s="16" customFormat="1" ht="19.5" customHeight="1" thickBot="1" x14ac:dyDescent="0.4">
      <c r="A83" s="206" t="s">
        <v>54</v>
      </c>
      <c r="B83" s="271">
        <f>B81-B82</f>
        <v>99.65</v>
      </c>
      <c r="C83" s="105"/>
      <c r="D83" s="105"/>
      <c r="E83" s="105"/>
      <c r="F83" s="105"/>
      <c r="G83" s="106"/>
      <c r="I83" s="103"/>
      <c r="J83" s="103"/>
      <c r="K83" s="103"/>
      <c r="L83" s="103"/>
    </row>
    <row r="84" spans="1:12" s="16" customFormat="1" ht="27" customHeight="1" thickBot="1" x14ac:dyDescent="0.5">
      <c r="A84" s="206" t="s">
        <v>142</v>
      </c>
      <c r="B84" s="295">
        <v>296.14699999999999</v>
      </c>
      <c r="C84" s="440" t="s">
        <v>114</v>
      </c>
      <c r="D84" s="441"/>
      <c r="E84" s="441"/>
      <c r="F84" s="441"/>
      <c r="G84" s="441"/>
      <c r="H84" s="442"/>
      <c r="I84" s="103"/>
      <c r="J84" s="103"/>
      <c r="K84" s="103"/>
      <c r="L84" s="103"/>
    </row>
    <row r="85" spans="1:12" s="16" customFormat="1" ht="27" customHeight="1" thickBot="1" x14ac:dyDescent="0.5">
      <c r="A85" s="206" t="s">
        <v>141</v>
      </c>
      <c r="B85" s="295">
        <v>318.12900000000002</v>
      </c>
      <c r="C85" s="440" t="s">
        <v>115</v>
      </c>
      <c r="D85" s="441"/>
      <c r="E85" s="441"/>
      <c r="F85" s="441"/>
      <c r="G85" s="441"/>
      <c r="H85" s="442"/>
      <c r="I85" s="103"/>
      <c r="J85" s="103"/>
      <c r="K85" s="103"/>
      <c r="L85" s="103"/>
    </row>
    <row r="86" spans="1:12" s="16" customFormat="1" ht="18" x14ac:dyDescent="0.35">
      <c r="A86" s="206"/>
      <c r="B86" s="110"/>
      <c r="C86" s="111"/>
      <c r="D86" s="111"/>
      <c r="E86" s="111"/>
      <c r="F86" s="111"/>
      <c r="G86" s="111"/>
      <c r="H86" s="111"/>
      <c r="I86" s="103"/>
      <c r="J86" s="103"/>
      <c r="K86" s="103"/>
      <c r="L86" s="103"/>
    </row>
    <row r="87" spans="1:12" s="16" customFormat="1" ht="18" x14ac:dyDescent="0.35">
      <c r="A87" s="206" t="s">
        <v>139</v>
      </c>
      <c r="B87" s="112">
        <f>B84/B85</f>
        <v>0.93090224405822786</v>
      </c>
      <c r="C87" s="196" t="s">
        <v>140</v>
      </c>
      <c r="D87" s="196"/>
      <c r="E87" s="196"/>
      <c r="F87" s="196"/>
      <c r="G87" s="196"/>
      <c r="I87" s="103"/>
      <c r="J87" s="103"/>
      <c r="K87" s="103"/>
      <c r="L87" s="103"/>
    </row>
    <row r="88" spans="1:12" ht="19.5" customHeight="1" thickBot="1" x14ac:dyDescent="0.4">
      <c r="A88" s="98"/>
      <c r="B88" s="98"/>
    </row>
    <row r="89" spans="1:12" ht="27" customHeight="1" thickBot="1" x14ac:dyDescent="0.5">
      <c r="A89" s="113" t="s">
        <v>61</v>
      </c>
      <c r="B89" s="114">
        <v>50</v>
      </c>
      <c r="D89" s="273" t="s">
        <v>62</v>
      </c>
      <c r="E89" s="276"/>
      <c r="F89" s="443" t="s">
        <v>63</v>
      </c>
      <c r="G89" s="445"/>
    </row>
    <row r="90" spans="1:12" ht="27" customHeight="1" thickBot="1" x14ac:dyDescent="0.5">
      <c r="A90" s="115" t="s">
        <v>64</v>
      </c>
      <c r="B90" s="116">
        <v>5</v>
      </c>
      <c r="C90" s="272" t="s">
        <v>65</v>
      </c>
      <c r="D90" s="118" t="s">
        <v>66</v>
      </c>
      <c r="E90" s="119" t="s">
        <v>67</v>
      </c>
      <c r="F90" s="118" t="s">
        <v>66</v>
      </c>
      <c r="G90" s="203" t="s">
        <v>67</v>
      </c>
      <c r="I90" s="121" t="s">
        <v>68</v>
      </c>
    </row>
    <row r="91" spans="1:12" ht="26.25" customHeight="1" x14ac:dyDescent="0.45">
      <c r="A91" s="115" t="s">
        <v>69</v>
      </c>
      <c r="B91" s="116">
        <v>20</v>
      </c>
      <c r="C91" s="204">
        <v>1</v>
      </c>
      <c r="D91" s="123">
        <v>106458460</v>
      </c>
      <c r="E91" s="124">
        <f>IF(ISBLANK(D91),"-",$D$101/$D$98*D91)</f>
        <v>97026491.965529799</v>
      </c>
      <c r="F91" s="123">
        <v>87093451</v>
      </c>
      <c r="G91" s="125">
        <f>IF(ISBLANK(F91),"-",$D$101/$F$98*F91)</f>
        <v>94316645.699735522</v>
      </c>
      <c r="I91" s="126"/>
    </row>
    <row r="92" spans="1:12" ht="26.25" customHeight="1" x14ac:dyDescent="0.45">
      <c r="A92" s="115" t="s">
        <v>70</v>
      </c>
      <c r="B92" s="116">
        <v>1</v>
      </c>
      <c r="C92" s="214">
        <v>2</v>
      </c>
      <c r="D92" s="128">
        <v>106847733</v>
      </c>
      <c r="E92" s="129">
        <f>IF(ISBLANK(D92),"-",$D$101/$D$98*D92)</f>
        <v>97381276.297436327</v>
      </c>
      <c r="F92" s="128">
        <v>87551541</v>
      </c>
      <c r="G92" s="130">
        <f>IF(ISBLANK(F92),"-",$D$101/$F$98*F92)</f>
        <v>94812727.916394874</v>
      </c>
      <c r="I92" s="447">
        <f>ABS((F96/D96*D95)-F95)/D95</f>
        <v>2.1404143733963946E-2</v>
      </c>
    </row>
    <row r="93" spans="1:12" ht="26.25" customHeight="1" x14ac:dyDescent="0.45">
      <c r="A93" s="115" t="s">
        <v>71</v>
      </c>
      <c r="B93" s="116">
        <v>1</v>
      </c>
      <c r="C93" s="214">
        <v>3</v>
      </c>
      <c r="D93" s="128">
        <v>106150624</v>
      </c>
      <c r="E93" s="129">
        <f>IF(ISBLANK(D93),"-",$D$101/$D$98*D93)</f>
        <v>96745929.507828444</v>
      </c>
      <c r="F93" s="128">
        <v>87373141</v>
      </c>
      <c r="G93" s="130">
        <f>IF(ISBLANK(F93),"-",$D$101/$F$98*F93)</f>
        <v>94619532.108907208</v>
      </c>
      <c r="I93" s="447"/>
    </row>
    <row r="94" spans="1:12" ht="27" customHeight="1" thickBot="1" x14ac:dyDescent="0.5">
      <c r="A94" s="115" t="s">
        <v>72</v>
      </c>
      <c r="B94" s="116">
        <v>1</v>
      </c>
      <c r="C94" s="205">
        <v>4</v>
      </c>
      <c r="D94" s="133"/>
      <c r="E94" s="134" t="str">
        <f>IF(ISBLANK(D94),"-",$D$101/$D$98*D94)</f>
        <v>-</v>
      </c>
      <c r="F94" s="133"/>
      <c r="G94" s="135" t="str">
        <f>IF(ISBLANK(F94),"-",$D$101/$F$98*F94)</f>
        <v>-</v>
      </c>
      <c r="I94" s="136"/>
    </row>
    <row r="95" spans="1:12" ht="27" customHeight="1" thickBot="1" x14ac:dyDescent="0.5">
      <c r="A95" s="115" t="s">
        <v>73</v>
      </c>
      <c r="B95" s="116">
        <v>1</v>
      </c>
      <c r="C95" s="206" t="s">
        <v>74</v>
      </c>
      <c r="D95" s="207">
        <f>AVERAGE(D91:D94)</f>
        <v>106485605.66666667</v>
      </c>
      <c r="E95" s="139">
        <f>AVERAGE(E91:E94)</f>
        <v>97051232.590264857</v>
      </c>
      <c r="F95" s="208">
        <f>AVERAGE(F91:F94)</f>
        <v>87339377.666666672</v>
      </c>
      <c r="G95" s="209">
        <f>AVERAGE(G91:G94)</f>
        <v>94582968.57501255</v>
      </c>
    </row>
    <row r="96" spans="1:12" ht="26.25" customHeight="1" x14ac:dyDescent="0.45">
      <c r="A96" s="115" t="s">
        <v>75</v>
      </c>
      <c r="B96" s="199">
        <v>1</v>
      </c>
      <c r="C96" s="210" t="s">
        <v>116</v>
      </c>
      <c r="D96" s="211">
        <v>10.48</v>
      </c>
      <c r="E96" s="196"/>
      <c r="F96" s="143">
        <v>8.82</v>
      </c>
    </row>
    <row r="97" spans="1:10" ht="26.25" customHeight="1" x14ac:dyDescent="0.45">
      <c r="A97" s="115" t="s">
        <v>77</v>
      </c>
      <c r="B97" s="199">
        <v>1</v>
      </c>
      <c r="C97" s="212" t="s">
        <v>145</v>
      </c>
      <c r="D97" s="213">
        <f>D96*$B$87</f>
        <v>9.7558555177302289</v>
      </c>
      <c r="E97" s="214"/>
      <c r="F97" s="145">
        <f>F96*$B$87</f>
        <v>8.2105577925935691</v>
      </c>
    </row>
    <row r="98" spans="1:10" ht="19.5" customHeight="1" thickBot="1" x14ac:dyDescent="0.4">
      <c r="A98" s="115" t="s">
        <v>79</v>
      </c>
      <c r="B98" s="214">
        <f>(B97/B96)*(B95/B94)*(B93/B92)*(B91/B90)*B89</f>
        <v>200</v>
      </c>
      <c r="C98" s="212" t="s">
        <v>80</v>
      </c>
      <c r="D98" s="215">
        <f>D97*$B$83/100</f>
        <v>9.7217100234181739</v>
      </c>
      <c r="E98" s="192"/>
      <c r="F98" s="148">
        <f>F97*$B$83/100</f>
        <v>8.1818208403194923</v>
      </c>
    </row>
    <row r="99" spans="1:10" ht="19.5" customHeight="1" thickBot="1" x14ac:dyDescent="0.4">
      <c r="A99" s="448" t="s">
        <v>81</v>
      </c>
      <c r="B99" s="462"/>
      <c r="C99" s="212" t="s">
        <v>148</v>
      </c>
      <c r="D99" s="216">
        <f>D98/$B$98</f>
        <v>4.8608550117090872E-2</v>
      </c>
      <c r="E99" s="192"/>
      <c r="F99" s="152">
        <f>F98/$B$98</f>
        <v>4.0909104201597463E-2</v>
      </c>
      <c r="H99" s="141"/>
    </row>
    <row r="100" spans="1:10" ht="19.5" customHeight="1" thickBot="1" x14ac:dyDescent="0.4">
      <c r="A100" s="450"/>
      <c r="B100" s="463"/>
      <c r="C100" s="212" t="s">
        <v>143</v>
      </c>
      <c r="D100" s="218">
        <f>$B$57/$B$116</f>
        <v>4.43019474205429E-2</v>
      </c>
      <c r="F100" s="157"/>
      <c r="G100" s="225"/>
      <c r="H100" s="141"/>
    </row>
    <row r="101" spans="1:10" ht="18" x14ac:dyDescent="0.35">
      <c r="C101" s="212" t="s">
        <v>146</v>
      </c>
      <c r="D101" s="213">
        <f>D100*$B$98</f>
        <v>8.8603894841085804</v>
      </c>
      <c r="F101" s="157"/>
      <c r="H101" s="141"/>
    </row>
    <row r="102" spans="1:10" ht="19.5" customHeight="1" thickBot="1" x14ac:dyDescent="0.4">
      <c r="C102" s="220" t="s">
        <v>85</v>
      </c>
      <c r="D102" s="221">
        <f>D101/B34</f>
        <v>9.5180665216597795</v>
      </c>
      <c r="F102" s="161"/>
      <c r="H102" s="141"/>
      <c r="J102" s="222"/>
    </row>
    <row r="103" spans="1:10" ht="18" x14ac:dyDescent="0.35">
      <c r="C103" s="223" t="s">
        <v>120</v>
      </c>
      <c r="D103" s="224">
        <f>AVERAGE(E91:E94,G91:G94)</f>
        <v>95817100.582638696</v>
      </c>
      <c r="F103" s="161"/>
      <c r="G103" s="225"/>
      <c r="H103" s="141"/>
      <c r="J103" s="226"/>
    </row>
    <row r="104" spans="1:10" ht="18" x14ac:dyDescent="0.35">
      <c r="C104" s="191" t="s">
        <v>87</v>
      </c>
      <c r="D104" s="227">
        <f>STDEV(E91:E94,G91:G94)/D103</f>
        <v>1.4360250339888079E-2</v>
      </c>
      <c r="F104" s="161"/>
      <c r="H104" s="141"/>
      <c r="J104" s="226"/>
    </row>
    <row r="105" spans="1:10" ht="19.5" customHeight="1" thickBot="1" x14ac:dyDescent="0.4">
      <c r="C105" s="193" t="s">
        <v>19</v>
      </c>
      <c r="D105" s="228">
        <f>COUNT(E91:E94,G91:G94)</f>
        <v>6</v>
      </c>
      <c r="F105" s="161"/>
      <c r="H105" s="141"/>
      <c r="J105" s="226"/>
    </row>
    <row r="106" spans="1:10" ht="19.5" customHeight="1" thickBot="1" x14ac:dyDescent="0.4">
      <c r="A106" s="165"/>
      <c r="B106" s="165"/>
      <c r="C106" s="165"/>
      <c r="D106" s="165"/>
      <c r="E106" s="165"/>
    </row>
    <row r="107" spans="1:10" ht="26.25" customHeight="1" x14ac:dyDescent="0.45">
      <c r="A107" s="113" t="s">
        <v>121</v>
      </c>
      <c r="B107" s="114">
        <v>1000</v>
      </c>
      <c r="C107" s="273" t="s">
        <v>40</v>
      </c>
      <c r="D107" s="230" t="s">
        <v>66</v>
      </c>
      <c r="E107" s="231" t="s">
        <v>154</v>
      </c>
      <c r="F107" s="232" t="s">
        <v>123</v>
      </c>
    </row>
    <row r="108" spans="1:10" ht="26.25" customHeight="1" x14ac:dyDescent="0.45">
      <c r="A108" s="115" t="s">
        <v>124</v>
      </c>
      <c r="B108" s="116">
        <v>1</v>
      </c>
      <c r="C108" s="233">
        <v>1</v>
      </c>
      <c r="D108" s="234">
        <v>107258617</v>
      </c>
      <c r="E108" s="265">
        <f t="shared" ref="E108:E113" si="1">IF(ISBLANK(D108),"-",D108/$D$103*$D$100*$B$116)</f>
        <v>49.59204131454517</v>
      </c>
      <c r="F108" s="235">
        <f t="shared" ref="F108:F113" si="2">IF(ISBLANK(D108), "-", E108/$B$56)</f>
        <v>0.99184082629090342</v>
      </c>
    </row>
    <row r="109" spans="1:10" ht="26.25" customHeight="1" x14ac:dyDescent="0.45">
      <c r="A109" s="115" t="s">
        <v>98</v>
      </c>
      <c r="B109" s="116">
        <v>1</v>
      </c>
      <c r="C109" s="233">
        <v>2</v>
      </c>
      <c r="D109" s="234">
        <v>104384784</v>
      </c>
      <c r="E109" s="266">
        <f t="shared" si="1"/>
        <v>48.263297304475543</v>
      </c>
      <c r="F109" s="236">
        <f t="shared" si="2"/>
        <v>0.96526594608951088</v>
      </c>
    </row>
    <row r="110" spans="1:10" ht="26.25" customHeight="1" x14ac:dyDescent="0.45">
      <c r="A110" s="115" t="s">
        <v>99</v>
      </c>
      <c r="B110" s="116">
        <v>1</v>
      </c>
      <c r="C110" s="233">
        <v>3</v>
      </c>
      <c r="D110" s="234">
        <v>101718926</v>
      </c>
      <c r="E110" s="266">
        <f t="shared" si="1"/>
        <v>47.030712512945819</v>
      </c>
      <c r="F110" s="236">
        <f t="shared" si="2"/>
        <v>0.94061425025891632</v>
      </c>
    </row>
    <row r="111" spans="1:10" ht="26.25" customHeight="1" x14ac:dyDescent="0.45">
      <c r="A111" s="115" t="s">
        <v>100</v>
      </c>
      <c r="B111" s="116">
        <v>1</v>
      </c>
      <c r="C111" s="233">
        <v>4</v>
      </c>
      <c r="D111" s="234">
        <v>100234388</v>
      </c>
      <c r="E111" s="266">
        <f t="shared" si="1"/>
        <v>46.344322254632004</v>
      </c>
      <c r="F111" s="236">
        <f t="shared" si="2"/>
        <v>0.92688644509264007</v>
      </c>
    </row>
    <row r="112" spans="1:10" ht="26.25" customHeight="1" x14ac:dyDescent="0.45">
      <c r="A112" s="115" t="s">
        <v>101</v>
      </c>
      <c r="B112" s="116">
        <v>1</v>
      </c>
      <c r="C112" s="233">
        <v>5</v>
      </c>
      <c r="D112" s="234">
        <v>109389299</v>
      </c>
      <c r="E112" s="266">
        <f t="shared" si="1"/>
        <v>50.577182394372429</v>
      </c>
      <c r="F112" s="236">
        <f t="shared" si="2"/>
        <v>1.0115436478874487</v>
      </c>
    </row>
    <row r="113" spans="1:10" ht="26.25" customHeight="1" x14ac:dyDescent="0.45">
      <c r="A113" s="115" t="s">
        <v>103</v>
      </c>
      <c r="B113" s="116">
        <v>1</v>
      </c>
      <c r="C113" s="237">
        <v>6</v>
      </c>
      <c r="D113" s="238">
        <v>104404863</v>
      </c>
      <c r="E113" s="267">
        <f t="shared" si="1"/>
        <v>48.272581021023505</v>
      </c>
      <c r="F113" s="239">
        <f t="shared" si="2"/>
        <v>0.96545162042047006</v>
      </c>
    </row>
    <row r="114" spans="1:10" ht="26.25" customHeight="1" x14ac:dyDescent="0.45">
      <c r="A114" s="115" t="s">
        <v>104</v>
      </c>
      <c r="B114" s="116">
        <v>1</v>
      </c>
      <c r="C114" s="233"/>
      <c r="D114" s="214"/>
      <c r="E114" s="196"/>
      <c r="F114" s="240"/>
    </row>
    <row r="115" spans="1:10" ht="26.25" customHeight="1" x14ac:dyDescent="0.45">
      <c r="A115" s="115" t="s">
        <v>105</v>
      </c>
      <c r="B115" s="116">
        <v>1</v>
      </c>
      <c r="C115" s="233"/>
      <c r="D115" s="241" t="s">
        <v>74</v>
      </c>
      <c r="E115" s="269">
        <f>AVERAGE(E108:E113)</f>
        <v>48.346689466999074</v>
      </c>
      <c r="F115" s="242">
        <f>AVERAGE(F108:F113)</f>
        <v>0.96693378933998153</v>
      </c>
    </row>
    <row r="116" spans="1:10" ht="27" customHeight="1" thickBot="1" x14ac:dyDescent="0.5">
      <c r="A116" s="115" t="s">
        <v>106</v>
      </c>
      <c r="B116" s="147">
        <f>(B115/B114)*(B113/B112)*(B111/B110)*(B109/B108)*B107</f>
        <v>1000</v>
      </c>
      <c r="C116" s="243"/>
      <c r="D116" s="206" t="s">
        <v>87</v>
      </c>
      <c r="E116" s="244">
        <f>STDEV(E108:E113)/E115</f>
        <v>3.2414730758022474E-2</v>
      </c>
      <c r="F116" s="244">
        <f>STDEV(F108:F113)/F115</f>
        <v>3.2414730758022522E-2</v>
      </c>
      <c r="I116" s="196"/>
    </row>
    <row r="117" spans="1:10" ht="27" customHeight="1" thickBot="1" x14ac:dyDescent="0.5">
      <c r="A117" s="448" t="s">
        <v>81</v>
      </c>
      <c r="B117" s="449"/>
      <c r="C117" s="245"/>
      <c r="D117" s="246" t="s">
        <v>19</v>
      </c>
      <c r="E117" s="247">
        <f>COUNT(E108:E113)</f>
        <v>6</v>
      </c>
      <c r="F117" s="247">
        <f>COUNT(F108:F113)</f>
        <v>6</v>
      </c>
      <c r="I117" s="196"/>
      <c r="J117" s="226"/>
    </row>
    <row r="118" spans="1:10" ht="19.5" customHeight="1" thickBot="1" x14ac:dyDescent="0.4">
      <c r="A118" s="450"/>
      <c r="B118" s="451"/>
      <c r="C118" s="196"/>
      <c r="D118" s="196"/>
      <c r="E118" s="196"/>
      <c r="F118" s="214"/>
      <c r="G118" s="196"/>
      <c r="H118" s="196"/>
      <c r="I118" s="196"/>
    </row>
    <row r="119" spans="1:10" ht="18" x14ac:dyDescent="0.35">
      <c r="A119" s="256"/>
      <c r="B119" s="111"/>
      <c r="C119" s="196"/>
      <c r="D119" s="196"/>
      <c r="E119" s="196"/>
      <c r="F119" s="214"/>
      <c r="G119" s="196"/>
      <c r="H119" s="196"/>
      <c r="I119" s="196"/>
    </row>
    <row r="120" spans="1:10" ht="26.25" customHeight="1" x14ac:dyDescent="0.45">
      <c r="A120" s="251" t="s">
        <v>109</v>
      </c>
      <c r="B120" s="206" t="s">
        <v>125</v>
      </c>
      <c r="C120" s="460" t="str">
        <f>B20</f>
        <v xml:space="preserve">Diclofenac Potassium </v>
      </c>
      <c r="D120" s="460"/>
      <c r="E120" s="196" t="s">
        <v>126</v>
      </c>
      <c r="F120" s="196"/>
      <c r="G120" s="197">
        <f>F115</f>
        <v>0.96693378933998153</v>
      </c>
      <c r="H120" s="196"/>
      <c r="I120" s="196"/>
    </row>
    <row r="121" spans="1:10" ht="19.5" customHeight="1" thickBot="1" x14ac:dyDescent="0.4">
      <c r="A121" s="274"/>
      <c r="B121" s="274"/>
      <c r="C121" s="249"/>
      <c r="D121" s="249"/>
      <c r="E121" s="249"/>
      <c r="F121" s="249"/>
      <c r="G121" s="249"/>
      <c r="H121" s="249"/>
    </row>
    <row r="122" spans="1:10" ht="18" x14ac:dyDescent="0.35">
      <c r="B122" s="461" t="s">
        <v>25</v>
      </c>
      <c r="C122" s="461"/>
      <c r="E122" s="272" t="s">
        <v>26</v>
      </c>
      <c r="F122" s="250"/>
      <c r="G122" s="461" t="s">
        <v>27</v>
      </c>
      <c r="H122" s="461"/>
    </row>
    <row r="123" spans="1:10" ht="69.900000000000006" customHeight="1" x14ac:dyDescent="0.35">
      <c r="A123" s="251" t="s">
        <v>28</v>
      </c>
      <c r="B123" s="253"/>
      <c r="C123" s="253"/>
      <c r="E123" s="253"/>
      <c r="F123" s="196"/>
      <c r="G123" s="253"/>
      <c r="H123" s="253"/>
    </row>
    <row r="124" spans="1:10" ht="69.900000000000006" customHeight="1" x14ac:dyDescent="0.35">
      <c r="A124" s="251" t="s">
        <v>29</v>
      </c>
      <c r="B124" s="254"/>
      <c r="C124" s="254"/>
      <c r="E124" s="254"/>
      <c r="F124" s="196"/>
      <c r="G124" s="255"/>
      <c r="H124" s="255"/>
    </row>
    <row r="125" spans="1:10" ht="18" x14ac:dyDescent="0.35">
      <c r="A125" s="214"/>
      <c r="B125" s="214"/>
      <c r="C125" s="214"/>
      <c r="D125" s="214"/>
      <c r="E125" s="214"/>
      <c r="F125" s="192"/>
      <c r="G125" s="214"/>
      <c r="H125" s="214"/>
      <c r="I125" s="196"/>
    </row>
    <row r="126" spans="1:10" ht="18" x14ac:dyDescent="0.35">
      <c r="A126" s="214"/>
      <c r="B126" s="214"/>
      <c r="C126" s="214"/>
      <c r="D126" s="214"/>
      <c r="E126" s="214"/>
      <c r="F126" s="192"/>
      <c r="G126" s="214"/>
      <c r="H126" s="214"/>
      <c r="I126" s="196"/>
    </row>
    <row r="127" spans="1:10" ht="18" x14ac:dyDescent="0.35">
      <c r="A127" s="214"/>
      <c r="B127" s="214"/>
      <c r="C127" s="214"/>
      <c r="D127" s="214"/>
      <c r="E127" s="214"/>
      <c r="F127" s="192"/>
      <c r="G127" s="214"/>
      <c r="H127" s="214"/>
      <c r="I127" s="196"/>
    </row>
    <row r="128" spans="1:10" ht="18" x14ac:dyDescent="0.35">
      <c r="A128" s="214"/>
      <c r="B128" s="214"/>
      <c r="C128" s="214"/>
      <c r="D128" s="214"/>
      <c r="E128" s="214"/>
      <c r="F128" s="192"/>
      <c r="G128" s="214"/>
      <c r="H128" s="214"/>
      <c r="I128" s="196"/>
    </row>
    <row r="129" spans="1:9" ht="18" x14ac:dyDescent="0.35">
      <c r="A129" s="214"/>
      <c r="B129" s="214"/>
      <c r="C129" s="214"/>
      <c r="D129" s="214"/>
      <c r="E129" s="214"/>
      <c r="F129" s="192"/>
      <c r="G129" s="214"/>
      <c r="H129" s="214"/>
      <c r="I129" s="196"/>
    </row>
    <row r="130" spans="1:9" ht="18" x14ac:dyDescent="0.35">
      <c r="A130" s="214"/>
      <c r="B130" s="214"/>
      <c r="C130" s="214"/>
      <c r="D130" s="214"/>
      <c r="E130" s="214"/>
      <c r="F130" s="192"/>
      <c r="G130" s="214"/>
      <c r="H130" s="214"/>
      <c r="I130" s="196"/>
    </row>
    <row r="131" spans="1:9" ht="18" x14ac:dyDescent="0.35">
      <c r="A131" s="214"/>
      <c r="B131" s="214"/>
      <c r="C131" s="214"/>
      <c r="D131" s="214"/>
      <c r="E131" s="214"/>
      <c r="F131" s="192"/>
      <c r="G131" s="214"/>
      <c r="H131" s="214"/>
      <c r="I131" s="196"/>
    </row>
    <row r="132" spans="1:9" ht="18" x14ac:dyDescent="0.35">
      <c r="A132" s="214"/>
      <c r="B132" s="214"/>
      <c r="C132" s="214"/>
      <c r="D132" s="214"/>
      <c r="E132" s="214"/>
      <c r="F132" s="192"/>
      <c r="G132" s="214"/>
      <c r="H132" s="214"/>
      <c r="I132" s="196"/>
    </row>
    <row r="133" spans="1:9" ht="18" x14ac:dyDescent="0.35">
      <c r="A133" s="214"/>
      <c r="B133" s="214"/>
      <c r="C133" s="214"/>
      <c r="D133" s="214"/>
      <c r="E133" s="214"/>
      <c r="F133" s="192"/>
      <c r="G133" s="214"/>
      <c r="H133" s="214"/>
      <c r="I133" s="196"/>
    </row>
    <row r="250" spans="1:1" x14ac:dyDescent="0.3">
      <c r="A250" s="21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G73">
    <cfRule type="cellIs" dxfId="8" priority="3" operator="greaterThan">
      <formula>0.02</formula>
    </cfRule>
  </conditionalFormatting>
  <conditionalFormatting sqref="H73">
    <cfRule type="cellIs" dxfId="7" priority="4" operator="greaterThan">
      <formula>0.02</formula>
    </cfRule>
  </conditionalFormatting>
  <conditionalFormatting sqref="D104">
    <cfRule type="cellIs" dxfId="6" priority="5" operator="greaterThan">
      <formula>0.02</formula>
    </cfRule>
  </conditionalFormatting>
  <conditionalFormatting sqref="I39">
    <cfRule type="cellIs" dxfId="5" priority="6" operator="lessThanOrEqual">
      <formula>0.02</formula>
    </cfRule>
  </conditionalFormatting>
  <conditionalFormatting sqref="I39">
    <cfRule type="cellIs" dxfId="4" priority="7" operator="greaterThan">
      <formula>0.02</formula>
    </cfRule>
  </conditionalFormatting>
  <conditionalFormatting sqref="I92">
    <cfRule type="cellIs" dxfId="3" priority="8" operator="lessThanOrEqual">
      <formula>0.02</formula>
    </cfRule>
  </conditionalFormatting>
  <conditionalFormatting sqref="I92">
    <cfRule type="cellIs" dxfId="2" priority="9" operator="greaterThan">
      <formula>0.02</formula>
    </cfRule>
  </conditionalFormatting>
  <pageMargins left="0.7" right="0.7" top="0.75" bottom="0.75" header="0.3" footer="0.3"/>
  <pageSetup scale="29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view="pageBreakPreview" topLeftCell="A31" zoomScale="60" zoomScaleNormal="55" workbookViewId="0">
      <selection activeCell="C43" sqref="C43:C49"/>
    </sheetView>
  </sheetViews>
  <sheetFormatPr defaultColWidth="9.109375" defaultRowHeight="13.2" x14ac:dyDescent="0.25"/>
  <cols>
    <col min="1" max="1" width="58.5546875" style="278" customWidth="1"/>
    <col min="2" max="2" width="34.33203125" style="278" customWidth="1"/>
    <col min="3" max="3" width="50" style="278" customWidth="1"/>
    <col min="4" max="4" width="23.109375" style="278" customWidth="1"/>
    <col min="5" max="5" width="34.88671875" style="278" customWidth="1"/>
    <col min="6" max="6" width="21.5546875" style="278" customWidth="1"/>
    <col min="7" max="7" width="33.33203125" style="278" customWidth="1"/>
    <col min="8" max="8" width="23.88671875" style="278" customWidth="1"/>
    <col min="9" max="16384" width="9.109375" style="278"/>
  </cols>
  <sheetData>
    <row r="1" spans="1:8" x14ac:dyDescent="0.25">
      <c r="A1" s="476" t="s">
        <v>48</v>
      </c>
      <c r="B1" s="476"/>
      <c r="C1" s="476"/>
      <c r="D1" s="476"/>
      <c r="E1" s="476"/>
      <c r="F1" s="476"/>
      <c r="G1" s="476"/>
      <c r="H1" s="476"/>
    </row>
    <row r="2" spans="1:8" x14ac:dyDescent="0.25">
      <c r="A2" s="476"/>
      <c r="B2" s="476"/>
      <c r="C2" s="476"/>
      <c r="D2" s="476"/>
      <c r="E2" s="476"/>
      <c r="F2" s="476"/>
      <c r="G2" s="476"/>
      <c r="H2" s="476"/>
    </row>
    <row r="3" spans="1:8" x14ac:dyDescent="0.25">
      <c r="A3" s="476"/>
      <c r="B3" s="476"/>
      <c r="C3" s="476"/>
      <c r="D3" s="476"/>
      <c r="E3" s="476"/>
      <c r="F3" s="476"/>
      <c r="G3" s="476"/>
      <c r="H3" s="476"/>
    </row>
    <row r="4" spans="1:8" x14ac:dyDescent="0.25">
      <c r="A4" s="476"/>
      <c r="B4" s="476"/>
      <c r="C4" s="476"/>
      <c r="D4" s="476"/>
      <c r="E4" s="476"/>
      <c r="F4" s="476"/>
      <c r="G4" s="476"/>
      <c r="H4" s="476"/>
    </row>
    <row r="5" spans="1:8" x14ac:dyDescent="0.25">
      <c r="A5" s="476"/>
      <c r="B5" s="476"/>
      <c r="C5" s="476"/>
      <c r="D5" s="476"/>
      <c r="E5" s="476"/>
      <c r="F5" s="476"/>
      <c r="G5" s="476"/>
      <c r="H5" s="476"/>
    </row>
    <row r="6" spans="1:8" x14ac:dyDescent="0.25">
      <c r="A6" s="476"/>
      <c r="B6" s="476"/>
      <c r="C6" s="476"/>
      <c r="D6" s="476"/>
      <c r="E6" s="476"/>
      <c r="F6" s="476"/>
      <c r="G6" s="476"/>
      <c r="H6" s="476"/>
    </row>
    <row r="7" spans="1:8" x14ac:dyDescent="0.25">
      <c r="A7" s="476"/>
      <c r="B7" s="476"/>
      <c r="C7" s="476"/>
      <c r="D7" s="476"/>
      <c r="E7" s="476"/>
      <c r="F7" s="476"/>
      <c r="G7" s="476"/>
      <c r="H7" s="476"/>
    </row>
    <row r="8" spans="1:8" x14ac:dyDescent="0.25">
      <c r="A8" s="477" t="s">
        <v>49</v>
      </c>
      <c r="B8" s="477"/>
      <c r="C8" s="477"/>
      <c r="D8" s="477"/>
      <c r="E8" s="477"/>
      <c r="F8" s="477"/>
      <c r="G8" s="477"/>
      <c r="H8" s="477"/>
    </row>
    <row r="9" spans="1:8" x14ac:dyDescent="0.25">
      <c r="A9" s="477"/>
      <c r="B9" s="477"/>
      <c r="C9" s="477"/>
      <c r="D9" s="477"/>
      <c r="E9" s="477"/>
      <c r="F9" s="477"/>
      <c r="G9" s="477"/>
      <c r="H9" s="477"/>
    </row>
    <row r="10" spans="1:8" x14ac:dyDescent="0.25">
      <c r="A10" s="477"/>
      <c r="B10" s="477"/>
      <c r="C10" s="477"/>
      <c r="D10" s="477"/>
      <c r="E10" s="477"/>
      <c r="F10" s="477"/>
      <c r="G10" s="477"/>
      <c r="H10" s="477"/>
    </row>
    <row r="11" spans="1:8" x14ac:dyDescent="0.25">
      <c r="A11" s="477"/>
      <c r="B11" s="477"/>
      <c r="C11" s="477"/>
      <c r="D11" s="477"/>
      <c r="E11" s="477"/>
      <c r="F11" s="477"/>
      <c r="G11" s="477"/>
      <c r="H11" s="477"/>
    </row>
    <row r="12" spans="1:8" x14ac:dyDescent="0.25">
      <c r="A12" s="477"/>
      <c r="B12" s="477"/>
      <c r="C12" s="477"/>
      <c r="D12" s="477"/>
      <c r="E12" s="477"/>
      <c r="F12" s="477"/>
      <c r="G12" s="477"/>
      <c r="H12" s="477"/>
    </row>
    <row r="13" spans="1:8" x14ac:dyDescent="0.25">
      <c r="A13" s="477"/>
      <c r="B13" s="477"/>
      <c r="C13" s="477"/>
      <c r="D13" s="477"/>
      <c r="E13" s="477"/>
      <c r="F13" s="477"/>
      <c r="G13" s="477"/>
      <c r="H13" s="477"/>
    </row>
    <row r="14" spans="1:8" x14ac:dyDescent="0.25">
      <c r="A14" s="477"/>
      <c r="B14" s="477"/>
      <c r="C14" s="477"/>
      <c r="D14" s="477"/>
      <c r="E14" s="477"/>
      <c r="F14" s="477"/>
      <c r="G14" s="477"/>
      <c r="H14" s="477"/>
    </row>
    <row r="15" spans="1:8" ht="19.5" customHeight="1" thickBot="1" x14ac:dyDescent="0.4">
      <c r="A15" s="279"/>
      <c r="B15" s="279"/>
      <c r="C15" s="279"/>
      <c r="D15" s="279"/>
      <c r="E15" s="279"/>
      <c r="F15" s="279"/>
      <c r="G15" s="279"/>
      <c r="H15" s="279"/>
    </row>
    <row r="16" spans="1:8" ht="19.5" customHeight="1" thickBot="1" x14ac:dyDescent="0.4">
      <c r="A16" s="478" t="s">
        <v>30</v>
      </c>
      <c r="B16" s="479"/>
      <c r="C16" s="479"/>
      <c r="D16" s="479"/>
      <c r="E16" s="479"/>
      <c r="F16" s="479"/>
      <c r="G16" s="479"/>
      <c r="H16" s="480"/>
    </row>
    <row r="17" spans="1:8" ht="18.75" customHeight="1" x14ac:dyDescent="0.35">
      <c r="A17" s="280" t="s">
        <v>50</v>
      </c>
      <c r="B17" s="280"/>
      <c r="C17" s="279"/>
      <c r="D17" s="279"/>
      <c r="E17" s="279"/>
      <c r="F17" s="279"/>
      <c r="G17" s="279"/>
      <c r="H17" s="279"/>
    </row>
    <row r="18" spans="1:8" ht="26.25" customHeight="1" x14ac:dyDescent="0.45">
      <c r="A18" s="281" t="s">
        <v>32</v>
      </c>
      <c r="B18" s="430" t="s">
        <v>5</v>
      </c>
      <c r="C18" s="430"/>
      <c r="D18" s="430"/>
      <c r="E18" s="430"/>
      <c r="F18" s="279"/>
      <c r="G18" s="279"/>
      <c r="H18" s="279"/>
    </row>
    <row r="19" spans="1:8" ht="26.25" customHeight="1" x14ac:dyDescent="0.5">
      <c r="A19" s="281" t="s">
        <v>33</v>
      </c>
      <c r="B19" s="282" t="s">
        <v>7</v>
      </c>
      <c r="C19" s="283">
        <v>6</v>
      </c>
      <c r="D19" s="284"/>
      <c r="E19" s="284"/>
      <c r="F19" s="279"/>
      <c r="G19" s="279"/>
      <c r="H19" s="279"/>
    </row>
    <row r="20" spans="1:8" ht="26.25" customHeight="1" x14ac:dyDescent="0.5">
      <c r="A20" s="281" t="s">
        <v>34</v>
      </c>
      <c r="B20" s="282" t="s">
        <v>136</v>
      </c>
      <c r="C20" s="284"/>
      <c r="D20" s="284"/>
      <c r="E20" s="284"/>
      <c r="F20" s="279"/>
      <c r="G20" s="279"/>
      <c r="H20" s="279"/>
    </row>
    <row r="21" spans="1:8" ht="26.25" customHeight="1" x14ac:dyDescent="0.5">
      <c r="A21" s="281" t="s">
        <v>35</v>
      </c>
      <c r="B21" s="435" t="s">
        <v>135</v>
      </c>
      <c r="C21" s="435"/>
      <c r="D21" s="435"/>
      <c r="E21" s="435"/>
      <c r="F21" s="435"/>
      <c r="G21" s="435"/>
      <c r="H21" s="435"/>
    </row>
    <row r="22" spans="1:8" ht="26.25" customHeight="1" x14ac:dyDescent="0.5">
      <c r="A22" s="281" t="s">
        <v>36</v>
      </c>
      <c r="B22" s="96" t="s">
        <v>11</v>
      </c>
      <c r="C22" s="284"/>
      <c r="D22" s="284"/>
      <c r="E22" s="284"/>
      <c r="F22" s="279"/>
      <c r="G22" s="279"/>
      <c r="H22" s="279"/>
    </row>
    <row r="23" spans="1:8" ht="26.25" customHeight="1" x14ac:dyDescent="0.5">
      <c r="A23" s="281" t="s">
        <v>37</v>
      </c>
      <c r="B23" s="285"/>
      <c r="C23" s="284"/>
      <c r="D23" s="284"/>
      <c r="E23" s="284"/>
      <c r="F23" s="279"/>
      <c r="G23" s="279"/>
      <c r="H23" s="279"/>
    </row>
    <row r="24" spans="1:8" ht="18.75" customHeight="1" x14ac:dyDescent="0.35">
      <c r="A24" s="281"/>
      <c r="B24" s="286"/>
      <c r="C24" s="279"/>
      <c r="D24" s="279"/>
      <c r="E24" s="279"/>
      <c r="F24" s="279"/>
      <c r="G24" s="279"/>
      <c r="H24" s="279"/>
    </row>
    <row r="25" spans="1:8" ht="18.75" customHeight="1" x14ac:dyDescent="0.35">
      <c r="A25" s="287" t="s">
        <v>1</v>
      </c>
      <c r="B25" s="286"/>
      <c r="C25" s="279"/>
      <c r="D25" s="279"/>
      <c r="E25" s="279"/>
      <c r="F25" s="279"/>
      <c r="G25" s="279"/>
      <c r="H25" s="279"/>
    </row>
    <row r="26" spans="1:8" ht="26.25" customHeight="1" x14ac:dyDescent="0.45">
      <c r="A26" s="288" t="s">
        <v>4</v>
      </c>
      <c r="B26" s="430" t="s">
        <v>129</v>
      </c>
      <c r="C26" s="430"/>
      <c r="D26" s="279"/>
      <c r="E26" s="279"/>
      <c r="F26" s="279"/>
      <c r="G26" s="279"/>
      <c r="H26" s="279"/>
    </row>
    <row r="27" spans="1:8" ht="26.25" customHeight="1" x14ac:dyDescent="0.45">
      <c r="A27" s="289" t="s">
        <v>51</v>
      </c>
      <c r="B27" s="436" t="s">
        <v>128</v>
      </c>
      <c r="C27" s="436"/>
      <c r="D27" s="279"/>
      <c r="E27" s="279"/>
      <c r="F27" s="279"/>
      <c r="G27" s="279"/>
      <c r="H27" s="279"/>
    </row>
    <row r="28" spans="1:8" ht="27" customHeight="1" thickBot="1" x14ac:dyDescent="0.5">
      <c r="A28" s="289" t="s">
        <v>6</v>
      </c>
      <c r="B28" s="290">
        <v>99.65</v>
      </c>
      <c r="C28" s="279"/>
      <c r="D28" s="279"/>
      <c r="E28" s="279"/>
      <c r="F28" s="279"/>
      <c r="G28" s="279"/>
      <c r="H28" s="279"/>
    </row>
    <row r="29" spans="1:8" ht="27" customHeight="1" thickBot="1" x14ac:dyDescent="0.55000000000000004">
      <c r="A29" s="289" t="s">
        <v>52</v>
      </c>
      <c r="B29" s="291">
        <v>0</v>
      </c>
      <c r="C29" s="470" t="s">
        <v>130</v>
      </c>
      <c r="D29" s="471"/>
      <c r="E29" s="471"/>
      <c r="F29" s="471"/>
      <c r="G29" s="472"/>
      <c r="H29" s="292"/>
    </row>
    <row r="30" spans="1:8" ht="19.5" customHeight="1" thickBot="1" x14ac:dyDescent="0.4">
      <c r="A30" s="289" t="s">
        <v>54</v>
      </c>
      <c r="B30" s="293">
        <f>B28-B29</f>
        <v>99.65</v>
      </c>
      <c r="C30" s="294"/>
      <c r="D30" s="294"/>
      <c r="E30" s="294"/>
      <c r="F30" s="294"/>
      <c r="G30" s="294"/>
      <c r="H30" s="292"/>
    </row>
    <row r="31" spans="1:8" ht="27" customHeight="1" thickBot="1" x14ac:dyDescent="0.5">
      <c r="A31" s="289" t="s">
        <v>142</v>
      </c>
      <c r="B31" s="295">
        <v>296.14699999999999</v>
      </c>
      <c r="C31" s="470" t="s">
        <v>56</v>
      </c>
      <c r="D31" s="471"/>
      <c r="E31" s="471"/>
      <c r="F31" s="471"/>
      <c r="G31" s="472"/>
      <c r="H31" s="296"/>
    </row>
    <row r="32" spans="1:8" ht="27" customHeight="1" thickBot="1" x14ac:dyDescent="0.5">
      <c r="A32" s="289" t="s">
        <v>141</v>
      </c>
      <c r="B32" s="295">
        <v>318.12900000000002</v>
      </c>
      <c r="C32" s="470" t="s">
        <v>58</v>
      </c>
      <c r="D32" s="471"/>
      <c r="E32" s="471"/>
      <c r="F32" s="471"/>
      <c r="G32" s="472"/>
      <c r="H32" s="296"/>
    </row>
    <row r="33" spans="1:8" ht="18.75" customHeight="1" x14ac:dyDescent="0.35">
      <c r="A33" s="289"/>
      <c r="B33" s="297"/>
      <c r="C33" s="298"/>
      <c r="D33" s="298"/>
      <c r="E33" s="298"/>
      <c r="F33" s="298"/>
      <c r="G33" s="298"/>
      <c r="H33" s="298"/>
    </row>
    <row r="34" spans="1:8" ht="18.75" customHeight="1" x14ac:dyDescent="0.35">
      <c r="A34" s="289" t="s">
        <v>139</v>
      </c>
      <c r="B34" s="299">
        <f>B31/B32</f>
        <v>0.93090224405822786</v>
      </c>
      <c r="C34" s="279" t="s">
        <v>140</v>
      </c>
      <c r="D34" s="279"/>
      <c r="E34" s="279"/>
      <c r="F34" s="279"/>
      <c r="G34" s="279"/>
      <c r="H34" s="292"/>
    </row>
    <row r="35" spans="1:8" ht="19.5" customHeight="1" thickBot="1" x14ac:dyDescent="0.4">
      <c r="A35" s="289"/>
      <c r="B35" s="300"/>
      <c r="C35" s="292"/>
      <c r="D35" s="292"/>
      <c r="E35" s="292"/>
      <c r="F35" s="292"/>
      <c r="G35" s="279"/>
      <c r="H35" s="292"/>
    </row>
    <row r="36" spans="1:8" ht="27" customHeight="1" thickBot="1" x14ac:dyDescent="0.55000000000000004">
      <c r="A36" s="301" t="s">
        <v>131</v>
      </c>
      <c r="B36" s="302">
        <v>50</v>
      </c>
      <c r="C36" s="279"/>
      <c r="D36" s="473" t="s">
        <v>62</v>
      </c>
      <c r="E36" s="474"/>
      <c r="F36" s="475" t="s">
        <v>63</v>
      </c>
      <c r="G36" s="474"/>
      <c r="H36" s="292"/>
    </row>
    <row r="37" spans="1:8" ht="26.25" customHeight="1" x14ac:dyDescent="0.5">
      <c r="A37" s="303" t="s">
        <v>64</v>
      </c>
      <c r="B37" s="304">
        <v>2</v>
      </c>
      <c r="C37" s="305" t="s">
        <v>65</v>
      </c>
      <c r="D37" s="306" t="s">
        <v>66</v>
      </c>
      <c r="E37" s="307" t="s">
        <v>67</v>
      </c>
      <c r="F37" s="308" t="s">
        <v>66</v>
      </c>
      <c r="G37" s="307" t="s">
        <v>67</v>
      </c>
      <c r="H37" s="292"/>
    </row>
    <row r="38" spans="1:8" ht="26.25" customHeight="1" x14ac:dyDescent="0.5">
      <c r="A38" s="303" t="s">
        <v>69</v>
      </c>
      <c r="B38" s="304">
        <v>20</v>
      </c>
      <c r="C38" s="309">
        <v>1</v>
      </c>
      <c r="D38" s="123">
        <v>82401281</v>
      </c>
      <c r="E38" s="310">
        <f>IF(ISBLANK(D38),"-",$D$48/$D$45*D38)</f>
        <v>81475731.730620325</v>
      </c>
      <c r="F38" s="123">
        <v>85509641</v>
      </c>
      <c r="G38" s="310">
        <f>IF(ISBLANK(F38),"-",$D$48/$F$45*F38)</f>
        <v>80419954.606902674</v>
      </c>
      <c r="H38" s="292"/>
    </row>
    <row r="39" spans="1:8" ht="26.25" customHeight="1" x14ac:dyDescent="0.5">
      <c r="A39" s="303" t="s">
        <v>70</v>
      </c>
      <c r="B39" s="304">
        <v>1</v>
      </c>
      <c r="C39" s="311">
        <v>2</v>
      </c>
      <c r="D39" s="128">
        <v>82604546</v>
      </c>
      <c r="E39" s="312">
        <f>IF(ISBLANK(D39),"-",$D$48/$D$45*D39)</f>
        <v>81676713.613538191</v>
      </c>
      <c r="F39" s="128">
        <v>85743464</v>
      </c>
      <c r="G39" s="312">
        <f>IF(ISBLANK(F39),"-",$D$48/$F$45*F39)</f>
        <v>80639860.044770777</v>
      </c>
      <c r="H39" s="292"/>
    </row>
    <row r="40" spans="1:8" ht="26.25" customHeight="1" x14ac:dyDescent="0.5">
      <c r="A40" s="303" t="s">
        <v>71</v>
      </c>
      <c r="B40" s="304">
        <v>1</v>
      </c>
      <c r="C40" s="311">
        <v>3</v>
      </c>
      <c r="D40" s="128">
        <v>82209041</v>
      </c>
      <c r="E40" s="312">
        <f>IF(ISBLANK(D40),"-",$D$48/$D$45*D40)</f>
        <v>81285651.012483254</v>
      </c>
      <c r="F40" s="128">
        <v>85237136</v>
      </c>
      <c r="G40" s="312">
        <f>IF(ISBLANK(F40),"-",$D$48/$F$45*F40)</f>
        <v>80163669.590688482</v>
      </c>
      <c r="H40" s="279"/>
    </row>
    <row r="41" spans="1:8" ht="26.25" customHeight="1" x14ac:dyDescent="0.5">
      <c r="A41" s="303" t="s">
        <v>72</v>
      </c>
      <c r="B41" s="304">
        <v>1</v>
      </c>
      <c r="C41" s="313">
        <v>4</v>
      </c>
      <c r="D41" s="314"/>
      <c r="E41" s="315" t="str">
        <f>IF(ISBLANK(D41),"-",$D$48/$D$45*D41)</f>
        <v>-</v>
      </c>
      <c r="F41" s="316"/>
      <c r="G41" s="315" t="str">
        <f>IF(ISBLANK(F41),"-",$D$48/$F$45*F41)</f>
        <v>-</v>
      </c>
      <c r="H41" s="279"/>
    </row>
    <row r="42" spans="1:8" ht="27" customHeight="1" thickBot="1" x14ac:dyDescent="0.55000000000000004">
      <c r="A42" s="303" t="s">
        <v>73</v>
      </c>
      <c r="B42" s="304">
        <v>1</v>
      </c>
      <c r="C42" s="317" t="s">
        <v>74</v>
      </c>
      <c r="D42" s="318">
        <f>AVERAGE(D38:D41)</f>
        <v>82404956</v>
      </c>
      <c r="E42" s="319">
        <f>AVERAGE(E38:E41)</f>
        <v>81479365.452213928</v>
      </c>
      <c r="F42" s="320">
        <f>AVERAGE(F38:F41)</f>
        <v>85496747</v>
      </c>
      <c r="G42" s="319">
        <f>AVERAGE(G38:G41)</f>
        <v>80407828.080787301</v>
      </c>
      <c r="H42" s="279"/>
    </row>
    <row r="43" spans="1:8" ht="26.25" customHeight="1" x14ac:dyDescent="0.5">
      <c r="A43" s="303" t="s">
        <v>75</v>
      </c>
      <c r="B43" s="291">
        <v>1</v>
      </c>
      <c r="C43" s="321" t="s">
        <v>116</v>
      </c>
      <c r="D43" s="414">
        <v>24.15</v>
      </c>
      <c r="E43" s="279"/>
      <c r="F43" s="322">
        <v>25.39</v>
      </c>
      <c r="G43" s="279"/>
      <c r="H43" s="279"/>
    </row>
    <row r="44" spans="1:8" ht="26.25" customHeight="1" x14ac:dyDescent="0.5">
      <c r="A44" s="303" t="s">
        <v>77</v>
      </c>
      <c r="B44" s="291">
        <v>1</v>
      </c>
      <c r="C44" s="323" t="s">
        <v>145</v>
      </c>
      <c r="D44" s="324">
        <f>D43*$B$34</f>
        <v>22.481289194006202</v>
      </c>
      <c r="E44" s="325"/>
      <c r="F44" s="324">
        <f>F43*$B$34</f>
        <v>23.635607976638404</v>
      </c>
      <c r="G44" s="279"/>
      <c r="H44" s="279"/>
    </row>
    <row r="45" spans="1:8" ht="19.5" customHeight="1" thickBot="1" x14ac:dyDescent="0.4">
      <c r="A45" s="303" t="s">
        <v>79</v>
      </c>
      <c r="B45" s="325">
        <f>(B44/B43)*(B42/B41)*(B40/B39)*(B38/B37)*B36</f>
        <v>500</v>
      </c>
      <c r="C45" s="323" t="s">
        <v>80</v>
      </c>
      <c r="D45" s="326">
        <f>D44*$B$30/100</f>
        <v>22.402604681827185</v>
      </c>
      <c r="E45" s="327"/>
      <c r="F45" s="326">
        <f>F44*$B$30/100</f>
        <v>23.552883348720169</v>
      </c>
      <c r="G45" s="279"/>
      <c r="H45" s="279"/>
    </row>
    <row r="46" spans="1:8" ht="26.4" customHeight="1" thickBot="1" x14ac:dyDescent="0.4">
      <c r="A46" s="482" t="s">
        <v>81</v>
      </c>
      <c r="B46" s="483"/>
      <c r="C46" s="323" t="s">
        <v>148</v>
      </c>
      <c r="D46" s="409">
        <f>D45/$B$45</f>
        <v>4.4805209363654369E-2</v>
      </c>
      <c r="E46" s="327"/>
      <c r="F46" s="410">
        <f>F45/$B$45</f>
        <v>4.7105766697440335E-2</v>
      </c>
      <c r="G46" s="279"/>
      <c r="H46" s="279"/>
    </row>
    <row r="47" spans="1:8" ht="27" customHeight="1" thickBot="1" x14ac:dyDescent="0.55000000000000004">
      <c r="A47" s="484"/>
      <c r="B47" s="485"/>
      <c r="C47" s="323" t="s">
        <v>143</v>
      </c>
      <c r="D47" s="408">
        <f>B57/B69</f>
        <v>4.43019474205429E-2</v>
      </c>
      <c r="E47" s="279"/>
      <c r="F47" s="328"/>
      <c r="G47" s="279"/>
      <c r="H47" s="279"/>
    </row>
    <row r="48" spans="1:8" ht="18.75" customHeight="1" x14ac:dyDescent="0.35">
      <c r="A48" s="279"/>
      <c r="B48" s="279"/>
      <c r="C48" s="323" t="s">
        <v>146</v>
      </c>
      <c r="D48" s="326">
        <f>D47*$B$45</f>
        <v>22.150973710271451</v>
      </c>
      <c r="E48" s="279"/>
      <c r="F48" s="328"/>
      <c r="G48" s="279"/>
      <c r="H48" s="279"/>
    </row>
    <row r="49" spans="1:8" ht="19.5" customHeight="1" thickBot="1" x14ac:dyDescent="0.4">
      <c r="A49" s="279"/>
      <c r="B49" s="279"/>
      <c r="C49" s="329" t="s">
        <v>85</v>
      </c>
      <c r="D49" s="330">
        <f>D48/B34</f>
        <v>23.795166304149451</v>
      </c>
      <c r="E49" s="279"/>
      <c r="F49" s="331"/>
      <c r="G49" s="279"/>
      <c r="H49" s="279"/>
    </row>
    <row r="50" spans="1:8" ht="18.75" customHeight="1" x14ac:dyDescent="0.35">
      <c r="A50" s="279"/>
      <c r="B50" s="279"/>
      <c r="C50" s="332" t="s">
        <v>86</v>
      </c>
      <c r="D50" s="333">
        <f>AVERAGE(E38:E41,G38:G41)</f>
        <v>80943596.766500607</v>
      </c>
      <c r="E50" s="279"/>
      <c r="F50" s="331"/>
      <c r="G50" s="279"/>
      <c r="H50" s="279"/>
    </row>
    <row r="51" spans="1:8" ht="18.75" customHeight="1" x14ac:dyDescent="0.35">
      <c r="A51" s="279"/>
      <c r="B51" s="279"/>
      <c r="C51" s="323" t="s">
        <v>87</v>
      </c>
      <c r="D51" s="334">
        <f>STDEV(E38:E41,G38:G41)/D50</f>
        <v>7.6404466821051991E-3</v>
      </c>
      <c r="E51" s="279"/>
      <c r="F51" s="331"/>
      <c r="G51" s="279"/>
      <c r="H51" s="279"/>
    </row>
    <row r="52" spans="1:8" ht="19.5" customHeight="1" thickBot="1" x14ac:dyDescent="0.4">
      <c r="A52" s="279"/>
      <c r="B52" s="279"/>
      <c r="C52" s="329" t="s">
        <v>19</v>
      </c>
      <c r="D52" s="335">
        <f>COUNT(E38:E41,G38:G41)</f>
        <v>6</v>
      </c>
      <c r="E52" s="279"/>
      <c r="F52" s="279"/>
      <c r="G52" s="279"/>
      <c r="H52" s="279"/>
    </row>
    <row r="53" spans="1:8" ht="18.75" customHeight="1" x14ac:dyDescent="0.35">
      <c r="A53" s="279"/>
      <c r="B53" s="279"/>
      <c r="C53" s="279"/>
      <c r="D53" s="279"/>
      <c r="E53" s="279"/>
      <c r="F53" s="279"/>
      <c r="G53" s="279"/>
      <c r="H53" s="279"/>
    </row>
    <row r="54" spans="1:8" ht="18.75" customHeight="1" x14ac:dyDescent="0.35">
      <c r="A54" s="280" t="s">
        <v>1</v>
      </c>
      <c r="B54" s="336" t="s">
        <v>147</v>
      </c>
      <c r="C54" s="279"/>
      <c r="D54" s="279"/>
      <c r="E54" s="279"/>
      <c r="F54" s="279"/>
      <c r="G54" s="279"/>
      <c r="H54" s="279"/>
    </row>
    <row r="55" spans="1:8" ht="18.75" customHeight="1" x14ac:dyDescent="0.35">
      <c r="A55" s="279" t="s">
        <v>89</v>
      </c>
      <c r="B55" s="284" t="str">
        <f>B21</f>
        <v>Each capsule contains: Diclofenac Potassium 50 mg</v>
      </c>
      <c r="C55" s="279"/>
      <c r="D55" s="279"/>
      <c r="E55" s="279"/>
      <c r="F55" s="279"/>
      <c r="G55" s="279"/>
      <c r="H55" s="279"/>
    </row>
    <row r="56" spans="1:8" ht="18.75" customHeight="1" x14ac:dyDescent="0.35">
      <c r="A56" s="289" t="s">
        <v>137</v>
      </c>
      <c r="B56" s="331">
        <v>334.23700000000002</v>
      </c>
      <c r="C56" s="279"/>
      <c r="D56" s="279"/>
      <c r="E56" s="279"/>
      <c r="F56" s="279"/>
      <c r="G56" s="279"/>
      <c r="H56" s="279"/>
    </row>
    <row r="57" spans="1:8" ht="18.75" customHeight="1" x14ac:dyDescent="0.35">
      <c r="A57" s="289" t="s">
        <v>138</v>
      </c>
      <c r="B57" s="419">
        <f>B31/B56*50</f>
        <v>44.301947420542902</v>
      </c>
      <c r="C57" s="279"/>
      <c r="D57" s="279"/>
      <c r="E57" s="279"/>
      <c r="F57" s="279"/>
      <c r="G57" s="411"/>
      <c r="H57" s="279"/>
    </row>
    <row r="58" spans="1:8" ht="26.25" customHeight="1" x14ac:dyDescent="0.45">
      <c r="A58" s="289" t="s">
        <v>132</v>
      </c>
      <c r="B58" s="418">
        <v>1</v>
      </c>
      <c r="C58" s="325" t="s">
        <v>133</v>
      </c>
      <c r="D58" s="337">
        <v>50</v>
      </c>
      <c r="E58" s="279" t="str">
        <f>B20</f>
        <v>Diclofenac Potassium</v>
      </c>
      <c r="F58" s="279"/>
      <c r="G58" s="279"/>
      <c r="H58" s="325"/>
    </row>
    <row r="59" spans="1:8" ht="19.5" customHeight="1" thickBot="1" x14ac:dyDescent="0.4">
      <c r="A59" s="279"/>
      <c r="B59" s="279"/>
      <c r="C59" s="279"/>
      <c r="D59" s="279"/>
      <c r="E59" s="279"/>
      <c r="F59" s="279"/>
      <c r="G59" s="279"/>
      <c r="H59" s="325"/>
    </row>
    <row r="60" spans="1:8" ht="27" customHeight="1" thickBot="1" x14ac:dyDescent="0.55000000000000004">
      <c r="A60" s="301" t="s">
        <v>134</v>
      </c>
      <c r="B60" s="302">
        <v>100</v>
      </c>
      <c r="C60" s="279"/>
      <c r="D60" s="338" t="s">
        <v>144</v>
      </c>
      <c r="E60" s="339" t="s">
        <v>65</v>
      </c>
      <c r="F60" s="339" t="s">
        <v>66</v>
      </c>
      <c r="G60" s="339" t="s">
        <v>151</v>
      </c>
      <c r="H60" s="305" t="s">
        <v>95</v>
      </c>
    </row>
    <row r="61" spans="1:8" ht="26.25" customHeight="1" x14ac:dyDescent="0.5">
      <c r="A61" s="303" t="s">
        <v>124</v>
      </c>
      <c r="B61" s="304">
        <v>2</v>
      </c>
      <c r="C61" s="486" t="s">
        <v>97</v>
      </c>
      <c r="D61" s="489">
        <v>1</v>
      </c>
      <c r="E61" s="412">
        <v>1</v>
      </c>
      <c r="F61" s="174">
        <v>85732032</v>
      </c>
      <c r="G61" s="340">
        <f>IF(ISBLANK(F61),"-",(F61/$D$50*$D$47*$B$69)*($B$58/$D$61))</f>
        <v>46.922747760724477</v>
      </c>
      <c r="H61" s="415">
        <f>IF(ISBLANK(F61),"-",G61/$B$57)</f>
        <v>1.0591576779978369</v>
      </c>
    </row>
    <row r="62" spans="1:8" ht="26.25" customHeight="1" x14ac:dyDescent="0.5">
      <c r="A62" s="303" t="s">
        <v>98</v>
      </c>
      <c r="B62" s="304">
        <v>20</v>
      </c>
      <c r="C62" s="487"/>
      <c r="D62" s="490"/>
      <c r="E62" s="311">
        <v>2</v>
      </c>
      <c r="F62" s="128">
        <v>85937674</v>
      </c>
      <c r="G62" s="341">
        <f t="shared" ref="G62:G72" si="0">IF(ISBLANK(F62),"-",(F62/$D$50*$D$47*$B$69)*($B$58/$D$61))</f>
        <v>47.035299481124746</v>
      </c>
      <c r="H62" s="416">
        <f t="shared" ref="H62:H72" si="1">IF(ISBLANK(F62),"-",G62/$B$57)</f>
        <v>1.0616982372046784</v>
      </c>
    </row>
    <row r="63" spans="1:8" ht="26.25" customHeight="1" x14ac:dyDescent="0.5">
      <c r="A63" s="303" t="s">
        <v>99</v>
      </c>
      <c r="B63" s="304">
        <v>1</v>
      </c>
      <c r="C63" s="487"/>
      <c r="D63" s="490"/>
      <c r="E63" s="311">
        <v>3</v>
      </c>
      <c r="F63" s="178">
        <v>86125095</v>
      </c>
      <c r="G63" s="341">
        <f t="shared" si="0"/>
        <v>47.137878506757353</v>
      </c>
      <c r="H63" s="416">
        <f t="shared" si="1"/>
        <v>1.0640136890438234</v>
      </c>
    </row>
    <row r="64" spans="1:8" ht="27" customHeight="1" thickBot="1" x14ac:dyDescent="0.55000000000000004">
      <c r="A64" s="303" t="s">
        <v>100</v>
      </c>
      <c r="B64" s="304">
        <v>1</v>
      </c>
      <c r="C64" s="488"/>
      <c r="D64" s="491"/>
      <c r="E64" s="413">
        <v>4</v>
      </c>
      <c r="F64" s="342"/>
      <c r="G64" s="341" t="str">
        <f t="shared" si="0"/>
        <v>-</v>
      </c>
      <c r="H64" s="417" t="str">
        <f t="shared" si="1"/>
        <v>-</v>
      </c>
    </row>
    <row r="65" spans="1:8" ht="26.25" customHeight="1" x14ac:dyDescent="0.5">
      <c r="A65" s="303" t="s">
        <v>101</v>
      </c>
      <c r="B65" s="304">
        <v>1</v>
      </c>
      <c r="C65" s="486" t="s">
        <v>102</v>
      </c>
      <c r="D65" s="490">
        <v>1</v>
      </c>
      <c r="E65" s="412">
        <v>1</v>
      </c>
      <c r="F65" s="174">
        <v>86379536</v>
      </c>
      <c r="G65" s="340">
        <f t="shared" si="0"/>
        <v>47.277138834367285</v>
      </c>
      <c r="H65" s="415">
        <f t="shared" si="1"/>
        <v>1.0671571248455949</v>
      </c>
    </row>
    <row r="66" spans="1:8" ht="26.25" customHeight="1" x14ac:dyDescent="0.5">
      <c r="A66" s="303" t="s">
        <v>103</v>
      </c>
      <c r="B66" s="304">
        <v>1</v>
      </c>
      <c r="C66" s="487"/>
      <c r="D66" s="490"/>
      <c r="E66" s="311">
        <v>2</v>
      </c>
      <c r="F66" s="128">
        <v>86607814</v>
      </c>
      <c r="G66" s="341">
        <f t="shared" si="0"/>
        <v>47.402079661773818</v>
      </c>
      <c r="H66" s="416">
        <f t="shared" si="1"/>
        <v>1.0699773355740425</v>
      </c>
    </row>
    <row r="67" spans="1:8" ht="26.25" customHeight="1" x14ac:dyDescent="0.5">
      <c r="A67" s="303" t="s">
        <v>104</v>
      </c>
      <c r="B67" s="304">
        <v>1</v>
      </c>
      <c r="C67" s="487"/>
      <c r="D67" s="490"/>
      <c r="E67" s="311">
        <v>3</v>
      </c>
      <c r="F67" s="128">
        <v>86764915</v>
      </c>
      <c r="G67" s="341">
        <f t="shared" si="0"/>
        <v>47.488063983199417</v>
      </c>
      <c r="H67" s="416">
        <f t="shared" si="1"/>
        <v>1.0719182055906442</v>
      </c>
    </row>
    <row r="68" spans="1:8" ht="27" customHeight="1" thickBot="1" x14ac:dyDescent="0.55000000000000004">
      <c r="A68" s="303" t="s">
        <v>105</v>
      </c>
      <c r="B68" s="304">
        <v>1</v>
      </c>
      <c r="C68" s="488"/>
      <c r="D68" s="491"/>
      <c r="E68" s="413">
        <v>4</v>
      </c>
      <c r="F68" s="342"/>
      <c r="G68" s="343" t="str">
        <f t="shared" si="0"/>
        <v>-</v>
      </c>
      <c r="H68" s="417" t="str">
        <f t="shared" si="1"/>
        <v>-</v>
      </c>
    </row>
    <row r="69" spans="1:8" ht="26.25" customHeight="1" x14ac:dyDescent="0.45">
      <c r="A69" s="303" t="s">
        <v>106</v>
      </c>
      <c r="B69" s="311">
        <f>(B68/B67)*(B66/B65)*(B64/B63)*(B62/B61)*B60</f>
        <v>1000</v>
      </c>
      <c r="C69" s="486" t="s">
        <v>107</v>
      </c>
      <c r="D69" s="490">
        <v>1</v>
      </c>
      <c r="E69" s="412">
        <v>1</v>
      </c>
      <c r="F69" s="174">
        <v>86528575</v>
      </c>
      <c r="G69" s="341">
        <f t="shared" si="0"/>
        <v>47.358710672108295</v>
      </c>
      <c r="H69" s="416">
        <f t="shared" si="1"/>
        <v>1.0689983946427593</v>
      </c>
    </row>
    <row r="70" spans="1:8" ht="27" customHeight="1" thickBot="1" x14ac:dyDescent="0.5">
      <c r="A70" s="344" t="s">
        <v>149</v>
      </c>
      <c r="B70" s="345">
        <v>5</v>
      </c>
      <c r="C70" s="487"/>
      <c r="D70" s="490"/>
      <c r="E70" s="311">
        <v>2</v>
      </c>
      <c r="F70" s="128">
        <v>86844571</v>
      </c>
      <c r="G70" s="341">
        <f t="shared" si="0"/>
        <v>47.531661204779653</v>
      </c>
      <c r="H70" s="416">
        <f t="shared" si="1"/>
        <v>1.0729022982574152</v>
      </c>
    </row>
    <row r="71" spans="1:8" ht="26.25" customHeight="1" x14ac:dyDescent="0.45">
      <c r="A71" s="482" t="s">
        <v>81</v>
      </c>
      <c r="B71" s="494"/>
      <c r="C71" s="487"/>
      <c r="D71" s="490"/>
      <c r="E71" s="311">
        <v>3</v>
      </c>
      <c r="F71" s="128">
        <v>86852682</v>
      </c>
      <c r="G71" s="341">
        <f t="shared" si="0"/>
        <v>47.536100507082523</v>
      </c>
      <c r="H71" s="416">
        <f t="shared" si="1"/>
        <v>1.0730025038366584</v>
      </c>
    </row>
    <row r="72" spans="1:8" ht="27" customHeight="1" thickBot="1" x14ac:dyDescent="0.55000000000000004">
      <c r="A72" s="484"/>
      <c r="B72" s="495"/>
      <c r="C72" s="492"/>
      <c r="D72" s="493"/>
      <c r="E72" s="413">
        <v>4</v>
      </c>
      <c r="F72" s="342"/>
      <c r="G72" s="343" t="str">
        <f t="shared" si="0"/>
        <v>-</v>
      </c>
      <c r="H72" s="417" t="str">
        <f t="shared" si="1"/>
        <v>-</v>
      </c>
    </row>
    <row r="73" spans="1:8" ht="26.25" customHeight="1" x14ac:dyDescent="0.45">
      <c r="A73" s="325"/>
      <c r="B73" s="325"/>
      <c r="C73" s="325"/>
      <c r="D73" s="325"/>
      <c r="E73" s="325"/>
      <c r="F73" s="325"/>
      <c r="G73" s="346" t="s">
        <v>74</v>
      </c>
      <c r="H73" s="347">
        <f>AVERAGE(H61:H72)</f>
        <v>1.0676472741103835</v>
      </c>
    </row>
    <row r="74" spans="1:8" ht="26.25" customHeight="1" x14ac:dyDescent="0.45">
      <c r="A74" s="279"/>
      <c r="B74" s="279"/>
      <c r="C74" s="325"/>
      <c r="D74" s="325"/>
      <c r="E74" s="325"/>
      <c r="F74" s="325"/>
      <c r="G74" s="348" t="s">
        <v>87</v>
      </c>
      <c r="H74" s="349">
        <f>STDEV(H61:H72)/H73</f>
        <v>4.714663045190976E-3</v>
      </c>
    </row>
    <row r="75" spans="1:8" ht="27" customHeight="1" thickBot="1" x14ac:dyDescent="0.5">
      <c r="A75" s="325"/>
      <c r="B75" s="325"/>
      <c r="C75" s="325"/>
      <c r="D75" s="325"/>
      <c r="E75" s="327"/>
      <c r="F75" s="325"/>
      <c r="G75" s="350" t="s">
        <v>19</v>
      </c>
      <c r="H75" s="351">
        <f>COUNT(H61:H72)</f>
        <v>9</v>
      </c>
    </row>
    <row r="76" spans="1:8" ht="18.75" customHeight="1" x14ac:dyDescent="0.35">
      <c r="A76" s="325"/>
      <c r="B76" s="325"/>
      <c r="C76" s="325"/>
      <c r="D76" s="325"/>
      <c r="E76" s="325"/>
      <c r="F76" s="327"/>
      <c r="G76" s="325"/>
      <c r="H76" s="325"/>
    </row>
    <row r="77" spans="1:8" ht="26.25" customHeight="1" x14ac:dyDescent="0.45">
      <c r="A77" s="288" t="s">
        <v>109</v>
      </c>
      <c r="B77" s="284" t="str">
        <f>CONCATENATE("The content of ", B20, " in the sample as a percentage of the stated label claim is:")</f>
        <v>The content of Diclofenac Potassium in the sample as a percentage of the stated label claim is:</v>
      </c>
      <c r="C77" s="420"/>
      <c r="D77" s="420"/>
      <c r="E77" s="279"/>
      <c r="F77" s="352">
        <f>H73</f>
        <v>1.0676472741103835</v>
      </c>
      <c r="H77" s="325"/>
    </row>
    <row r="78" spans="1:8" ht="19.5" customHeight="1" thickBot="1" x14ac:dyDescent="0.4">
      <c r="A78" s="353"/>
      <c r="B78" s="354"/>
      <c r="C78" s="354"/>
      <c r="D78" s="354"/>
      <c r="E78" s="354"/>
      <c r="F78" s="354"/>
      <c r="G78" s="354"/>
      <c r="H78" s="354"/>
    </row>
    <row r="79" spans="1:8" ht="18.75" customHeight="1" x14ac:dyDescent="0.35">
      <c r="A79" s="279"/>
      <c r="B79" s="481" t="s">
        <v>25</v>
      </c>
      <c r="C79" s="481"/>
      <c r="D79" s="325"/>
      <c r="E79" s="300" t="s">
        <v>26</v>
      </c>
      <c r="F79" s="279"/>
      <c r="G79" s="481" t="s">
        <v>27</v>
      </c>
      <c r="H79" s="481"/>
    </row>
    <row r="80" spans="1:8" ht="60" customHeight="1" x14ac:dyDescent="0.35">
      <c r="A80" s="288" t="s">
        <v>28</v>
      </c>
      <c r="B80" s="355"/>
      <c r="C80" s="355"/>
      <c r="D80" s="356"/>
      <c r="E80" s="355"/>
      <c r="F80" s="279"/>
      <c r="G80" s="357"/>
      <c r="H80" s="357"/>
    </row>
    <row r="81" spans="1:8" ht="60" customHeight="1" x14ac:dyDescent="0.35">
      <c r="A81" s="288" t="s">
        <v>29</v>
      </c>
      <c r="B81" s="358"/>
      <c r="C81" s="358"/>
      <c r="D81" s="359"/>
      <c r="E81" s="360"/>
      <c r="F81" s="279"/>
      <c r="G81" s="361"/>
      <c r="H81" s="361"/>
    </row>
    <row r="252" spans="1:1" x14ac:dyDescent="0.25">
      <c r="A252" s="278">
        <v>5</v>
      </c>
    </row>
  </sheetData>
  <sheetProtection formatCells="0" formatColumns="0"/>
  <mergeCells count="23">
    <mergeCell ref="B79:C79"/>
    <mergeCell ref="G79:H79"/>
    <mergeCell ref="B18:C18"/>
    <mergeCell ref="D18:E18"/>
    <mergeCell ref="A46:B47"/>
    <mergeCell ref="C61:C64"/>
    <mergeCell ref="D61:D64"/>
    <mergeCell ref="C65:C68"/>
    <mergeCell ref="D65:D68"/>
    <mergeCell ref="C69:C72"/>
    <mergeCell ref="D69:D72"/>
    <mergeCell ref="A71:B72"/>
    <mergeCell ref="B27:C27"/>
    <mergeCell ref="C29:G29"/>
    <mergeCell ref="C31:G31"/>
    <mergeCell ref="C32:G32"/>
    <mergeCell ref="D36:E36"/>
    <mergeCell ref="F36:G36"/>
    <mergeCell ref="A1:H7"/>
    <mergeCell ref="A8:H14"/>
    <mergeCell ref="A16:H16"/>
    <mergeCell ref="B21:H21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 1</vt:lpstr>
      <vt:lpstr> diclofenac acid stage</vt:lpstr>
      <vt:lpstr>Diclofenac (2) buffer stage</vt:lpstr>
      <vt:lpstr>cataflam assay</vt:lpstr>
      <vt:lpstr>' diclofenac acid stage'!Print_Area</vt:lpstr>
      <vt:lpstr>'cataflam assay'!Print_Area</vt:lpstr>
      <vt:lpstr>'Diclofenac (2) buffer stage'!Print_Area</vt:lpstr>
      <vt:lpstr>'Uniformity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2016-11-02T09:14:41Z</cp:lastPrinted>
  <dcterms:created xsi:type="dcterms:W3CDTF">2005-07-05T10:19:27Z</dcterms:created>
  <dcterms:modified xsi:type="dcterms:W3CDTF">2016-11-02T09:24:26Z</dcterms:modified>
</cp:coreProperties>
</file>