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Quinine Sulfate" sheetId="3" r:id="rId3"/>
  </sheets>
  <definedNames>
    <definedName name="_xlnm.Print_Area" localSheetId="2">'Quinine Sulfate'!$A$1:$I$125</definedName>
    <definedName name="_xlnm.Print_Area" localSheetId="0">SST!$A$1:$H$61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3" l="1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B69" i="3"/>
  <c r="I39" i="3"/>
  <c r="D45" i="3"/>
  <c r="D46" i="3" s="1"/>
  <c r="F98" i="3"/>
  <c r="F99" i="3" s="1"/>
  <c r="G94" i="3"/>
  <c r="G91" i="3"/>
  <c r="D49" i="3"/>
  <c r="E41" i="3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E92" i="3" l="1"/>
  <c r="E38" i="3"/>
  <c r="E40" i="3"/>
  <c r="E39" i="3"/>
  <c r="G92" i="3"/>
  <c r="G93" i="3"/>
  <c r="G39" i="3"/>
  <c r="G40" i="3"/>
  <c r="G38" i="3"/>
  <c r="E94" i="3"/>
  <c r="E93" i="3"/>
  <c r="G41" i="3"/>
  <c r="E91" i="3"/>
  <c r="G95" i="3" l="1"/>
  <c r="G42" i="3"/>
  <c r="D50" i="3"/>
  <c r="G68" i="3" s="1"/>
  <c r="H68" i="3" s="1"/>
  <c r="E42" i="3"/>
  <c r="E95" i="3"/>
  <c r="D105" i="3"/>
  <c r="D103" i="3"/>
  <c r="D52" i="3"/>
  <c r="G69" i="3" l="1"/>
  <c r="H69" i="3" s="1"/>
  <c r="D51" i="3"/>
  <c r="G65" i="3"/>
  <c r="H65" i="3" s="1"/>
  <c r="G60" i="3"/>
  <c r="H60" i="3" s="1"/>
  <c r="G63" i="3"/>
  <c r="H63" i="3" s="1"/>
  <c r="G66" i="3"/>
  <c r="H66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12" i="3"/>
  <c r="F112" i="3" s="1"/>
  <c r="E110" i="3"/>
  <c r="F110" i="3" s="1"/>
  <c r="E108" i="3"/>
  <c r="E109" i="3"/>
  <c r="F109" i="3" s="1"/>
  <c r="E113" i="3"/>
  <c r="F113" i="3" s="1"/>
  <c r="E111" i="3"/>
  <c r="F111" i="3" s="1"/>
  <c r="D104" i="3"/>
  <c r="G74" i="3" l="1"/>
  <c r="G72" i="3"/>
  <c r="G73" i="3" s="1"/>
  <c r="H74" i="3"/>
  <c r="H72" i="3"/>
  <c r="E115" i="3"/>
  <c r="E116" i="3" s="1"/>
  <c r="E117" i="3"/>
  <c r="F108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<sst xmlns="http://schemas.openxmlformats.org/spreadsheetml/2006/main" count="233" uniqueCount="127">
  <si>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</si>
  <si>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</si>
  <si>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</si>
  <si>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</si>
  <si>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</si>
  <si>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QUININE SULPHATE TABLETS B.P</t>
  </si>
  <si>
    <t>% age Purity:</t>
  </si>
  <si>
    <t>NDQD201505230</t>
  </si>
  <si>
    <t>Weight (mg):</t>
  </si>
  <si>
    <t>QUININE SULPHATE</t>
  </si>
  <si>
    <t>Standard Conc (mg/mL):</t>
  </si>
  <si>
    <t>Each film coated tablet contains: Quinine Sulphate B.P 300MG</t>
  </si>
  <si>
    <t>2015-05-14 11:06:08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</si>
  <si>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</si>
  <si>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</si>
  <si>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</si>
  <si>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</si>
  <si>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</si>
  <si>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</si>
  <si>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</si>
  <si>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</si>
  <si>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</si>
  <si>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</si>
  <si>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</si>
  <si>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</si>
  <si>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</si>
  <si>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</si>
  <si>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</si>
  <si>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</si>
  <si>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</si>
  <si>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</si>
  <si>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</si>
  <si>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</si>
  <si>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</si>
  <si>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</si>
  <si>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</si>
  <si>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</si>
  <si>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</si>
  <si>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</si>
  <si>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</si>
  <si>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</si>
  <si>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</si>
  <si>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</si>
  <si>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</si>
  <si>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</si>
  <si>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</si>
  <si>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</si>
  <si>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</si>
  <si>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</si>
  <si>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</si>
  <si>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</si>
  <si>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</si>
  <si>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</si>
  <si>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</si>
  <si>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</si>
  <si>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</si>
  <si>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</si>
  <si>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</si>
  <si>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</si>
  <si>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</si>
  <si>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</si>
  <si>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</si>
  <si>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</si>
  <si>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</si>
  <si>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</si>
  <si>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</si>
  <si>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</si>
  <si>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</si>
  <si>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</si>
  <si>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</si>
  <si>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</si>
  <si>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</si>
  <si>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</si>
  <si>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</si>
  <si>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</si>
  <si>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</si>
  <si>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</si>
  <si>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</si>
  <si>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</si>
  <si>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</si>
  <si>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</si>
  <si>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</si>
  <si>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</si>
  <si>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</si>
  <si>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</si>
  <si>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</si>
  <si>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</si>
  <si>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</si>
  <si>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</si>
  <si>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</si>
  <si>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</si>
  <si>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</si>
  <si>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</si>
  <si>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</si>
  <si>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</si>
  <si>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</si>
  <si>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</si>
  <si>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</si>
  <si>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</si>
  <si>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</si>
  <si>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</si>
  <si>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</si>
  <si>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</si>
  <si>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</si>
  <si>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</si>
  <si>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</si>
  <si>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</si>
  <si>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</si>
  <si>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</si>
  <si>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</si>
  <si>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</si>
  <si>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</si>
  <si>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</si>
  <si>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</si>
  <si>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</si>
  <si>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</si>
  <si>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</si>
  <si>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</si>
  <si>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</si>
  <si>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</si>
  <si>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</si>
  <si>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</si>
  <si>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</si>
  <si>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</si>
  <si>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</si>
  <si>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Quinine Sulfate</t>
  </si>
  <si>
    <t>Q1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</si>
</sst>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19080169</v>
      </c>
      <c r="C24" s="18">
        <v>7867.7</v>
      </c>
      <c r="D24" s="19">
        <v>1.3</v>
      </c>
      <c r="E24" s="20">
        <v>9.4</v>
      </c>
    </row>
    <row r="25" spans="1:6" ht="16.5" customHeight="1" x14ac:dyDescent="0.3">
      <c r="A25" s="17">
        <v>2</v>
      </c>
      <c r="B25" s="18">
        <v>19227992</v>
      </c>
      <c r="C25" s="18">
        <v>7818.9</v>
      </c>
      <c r="D25" s="19">
        <v>1.3</v>
      </c>
      <c r="E25" s="19">
        <v>9.4</v>
      </c>
    </row>
    <row r="26" spans="1:6" ht="16.5" customHeight="1" x14ac:dyDescent="0.3">
      <c r="A26" s="17">
        <v>3</v>
      </c>
      <c r="B26" s="18">
        <v>19223127</v>
      </c>
      <c r="C26" s="18">
        <v>7802.4</v>
      </c>
      <c r="D26" s="19">
        <v>1.3</v>
      </c>
      <c r="E26" s="19">
        <v>9.4</v>
      </c>
    </row>
    <row r="27" spans="1:6" ht="16.5" customHeight="1" x14ac:dyDescent="0.3">
      <c r="A27" s="17">
        <v>4</v>
      </c>
      <c r="B27" s="18">
        <v>19217986</v>
      </c>
      <c r="C27" s="18">
        <v>7765.8</v>
      </c>
      <c r="D27" s="19">
        <v>1.3</v>
      </c>
      <c r="E27" s="19">
        <v>9.4</v>
      </c>
    </row>
    <row r="28" spans="1:6" ht="16.5" customHeight="1" x14ac:dyDescent="0.3">
      <c r="A28" s="17">
        <v>5</v>
      </c>
      <c r="B28" s="18">
        <v>19094697</v>
      </c>
      <c r="C28" s="18">
        <v>7724.3</v>
      </c>
      <c r="D28" s="19">
        <v>1.3</v>
      </c>
      <c r="E28" s="19">
        <v>9.4</v>
      </c>
    </row>
    <row r="29" spans="1:6" ht="16.5" customHeight="1" x14ac:dyDescent="0.3">
      <c r="A29" s="17">
        <v>6</v>
      </c>
      <c r="B29" s="21">
        <v>19060724</v>
      </c>
      <c r="C29" s="21">
        <v>7689.6</v>
      </c>
      <c r="D29" s="22">
        <v>1.3</v>
      </c>
      <c r="E29" s="22">
        <v>9.4</v>
      </c>
    </row>
    <row r="30" spans="1:6" ht="16.5" customHeight="1" x14ac:dyDescent="0.3">
      <c r="A30" s="23" t="s">
        <v>18</v>
      </c>
      <c r="B30" s="24">
        <f>AVERAGE(B24:B29)</f>
        <v>19150782.5</v>
      </c>
      <c r="C30" s="25">
        <f>AVERAGE(C24:C29)</f>
        <v>7778.1166666666659</v>
      </c>
      <c r="D30" s="26">
        <f>AVERAGE(D24:D29)</f>
        <v>1.3</v>
      </c>
      <c r="E30" s="26">
        <f>AVERAGE(E24:E29)</f>
        <v>9.4</v>
      </c>
    </row>
    <row r="31" spans="1:6" ht="16.5" customHeight="1" x14ac:dyDescent="0.3">
      <c r="A31" s="27" t="s">
        <v>19</v>
      </c>
      <c r="B31" s="28">
        <f>(STDEV(B24:B29)/B30)</f>
        <v>4.1743536039202302E-3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376.15</v>
      </c>
      <c r="D24" s="87">
        <f t="shared" ref="D24:D43" si="0">(C24-$C$46)/$C$46</f>
        <v>-2.253636416789577E-2</v>
      </c>
      <c r="E24" s="53"/>
    </row>
    <row r="25" spans="1:5" ht="15.75" customHeight="1" x14ac:dyDescent="0.3">
      <c r="C25" s="95">
        <v>400.82</v>
      </c>
      <c r="D25" s="88">
        <f t="shared" si="0"/>
        <v>4.1571113955135013E-2</v>
      </c>
      <c r="E25" s="53"/>
    </row>
    <row r="26" spans="1:5" ht="15.75" customHeight="1" x14ac:dyDescent="0.3">
      <c r="C26" s="95">
        <v>388.64</v>
      </c>
      <c r="D26" s="88">
        <f t="shared" si="0"/>
        <v>9.9201579949195744E-3</v>
      </c>
      <c r="E26" s="53"/>
    </row>
    <row r="27" spans="1:5" ht="15.75" customHeight="1" x14ac:dyDescent="0.3">
      <c r="C27" s="95">
        <v>384.6</v>
      </c>
      <c r="D27" s="88">
        <f t="shared" si="0"/>
        <v>-5.7818864541450926E-4</v>
      </c>
      <c r="E27" s="53"/>
    </row>
    <row r="28" spans="1:5" ht="15.75" customHeight="1" x14ac:dyDescent="0.3">
      <c r="C28" s="95">
        <v>373.75</v>
      </c>
      <c r="D28" s="88">
        <f t="shared" si="0"/>
        <v>-2.8773005736411065E-2</v>
      </c>
      <c r="E28" s="53"/>
    </row>
    <row r="29" spans="1:5" ht="15.75" customHeight="1" x14ac:dyDescent="0.3">
      <c r="C29" s="95">
        <v>385.07</v>
      </c>
      <c r="D29" s="88">
        <f t="shared" si="0"/>
        <v>6.43153661753004E-4</v>
      </c>
      <c r="E29" s="53"/>
    </row>
    <row r="30" spans="1:5" ht="15.75" customHeight="1" x14ac:dyDescent="0.3">
      <c r="C30" s="95">
        <v>384.45</v>
      </c>
      <c r="D30" s="88">
        <f t="shared" si="0"/>
        <v>-9.6797874344680746E-4</v>
      </c>
      <c r="E30" s="53"/>
    </row>
    <row r="31" spans="1:5" ht="15.75" customHeight="1" x14ac:dyDescent="0.3">
      <c r="C31" s="95">
        <v>378.42</v>
      </c>
      <c r="D31" s="88">
        <f t="shared" si="0"/>
        <v>-1.6637540684341562E-2</v>
      </c>
      <c r="E31" s="53"/>
    </row>
    <row r="32" spans="1:5" ht="15.75" customHeight="1" x14ac:dyDescent="0.3">
      <c r="C32" s="95">
        <v>382.32</v>
      </c>
      <c r="D32" s="88">
        <f t="shared" si="0"/>
        <v>-6.5029981355041724E-3</v>
      </c>
      <c r="E32" s="53"/>
    </row>
    <row r="33" spans="1:7" ht="15.75" customHeight="1" x14ac:dyDescent="0.3">
      <c r="C33" s="95">
        <v>403.45</v>
      </c>
      <c r="D33" s="88">
        <f t="shared" si="0"/>
        <v>4.8405433673966408E-2</v>
      </c>
      <c r="E33" s="53"/>
    </row>
    <row r="34" spans="1:7" ht="15.75" customHeight="1" x14ac:dyDescent="0.3">
      <c r="C34" s="95">
        <v>375.82</v>
      </c>
      <c r="D34" s="88">
        <f t="shared" si="0"/>
        <v>-2.3393902383566589E-2</v>
      </c>
      <c r="E34" s="53"/>
    </row>
    <row r="35" spans="1:7" ht="15.75" customHeight="1" x14ac:dyDescent="0.3">
      <c r="C35" s="95">
        <v>383.76</v>
      </c>
      <c r="D35" s="88">
        <f t="shared" si="0"/>
        <v>-2.7610131943949659E-3</v>
      </c>
      <c r="E35" s="53"/>
    </row>
    <row r="36" spans="1:7" ht="15.75" customHeight="1" x14ac:dyDescent="0.3">
      <c r="C36" s="95">
        <v>382.93</v>
      </c>
      <c r="D36" s="88">
        <f t="shared" si="0"/>
        <v>-4.9178517368398175E-3</v>
      </c>
      <c r="E36" s="53"/>
    </row>
    <row r="37" spans="1:7" ht="15.75" customHeight="1" x14ac:dyDescent="0.3">
      <c r="C37" s="95">
        <v>377.08</v>
      </c>
      <c r="D37" s="88">
        <f t="shared" si="0"/>
        <v>-2.0119665560096051E-2</v>
      </c>
      <c r="E37" s="53"/>
    </row>
    <row r="38" spans="1:7" ht="15.75" customHeight="1" x14ac:dyDescent="0.3">
      <c r="C38" s="95">
        <v>394.64</v>
      </c>
      <c r="D38" s="88">
        <f t="shared" si="0"/>
        <v>2.5511761916207958E-2</v>
      </c>
      <c r="E38" s="53"/>
    </row>
    <row r="39" spans="1:7" ht="15.75" customHeight="1" x14ac:dyDescent="0.3">
      <c r="C39" s="95">
        <v>383.04</v>
      </c>
      <c r="D39" s="88">
        <f t="shared" si="0"/>
        <v>-4.6320056649494954E-3</v>
      </c>
      <c r="E39" s="53"/>
    </row>
    <row r="40" spans="1:7" ht="15.75" customHeight="1" x14ac:dyDescent="0.3">
      <c r="C40" s="95">
        <v>393.13</v>
      </c>
      <c r="D40" s="88">
        <f t="shared" si="0"/>
        <v>2.1587874929350406E-2</v>
      </c>
      <c r="E40" s="53"/>
    </row>
    <row r="41" spans="1:7" ht="15.75" customHeight="1" x14ac:dyDescent="0.3">
      <c r="C41" s="95">
        <v>381.32</v>
      </c>
      <c r="D41" s="88">
        <f t="shared" si="0"/>
        <v>-9.1015987890522357E-3</v>
      </c>
      <c r="E41" s="53"/>
    </row>
    <row r="42" spans="1:7" ht="15.75" customHeight="1" x14ac:dyDescent="0.3">
      <c r="C42" s="95">
        <v>383.34</v>
      </c>
      <c r="D42" s="88">
        <f t="shared" si="0"/>
        <v>-3.8524254688851942E-3</v>
      </c>
      <c r="E42" s="53"/>
    </row>
    <row r="43" spans="1:7" ht="16.5" customHeight="1" x14ac:dyDescent="0.3">
      <c r="C43" s="96">
        <v>383.72</v>
      </c>
      <c r="D43" s="89">
        <f t="shared" si="0"/>
        <v>-2.8649572205367937E-3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7696.4500000000007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384.82250000000005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384.82250000000005</v>
      </c>
      <c r="C49" s="93">
        <f>-IF(C46&lt;=80,10%,IF(C46&lt;250,7.5%,5%))</f>
        <v>-0.05</v>
      </c>
      <c r="D49" s="81">
        <f>IF(C46&lt;=80,C46*0.9,IF(C46&lt;250,C46*0.925,C46*0.95))</f>
        <v>365.58137500000004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404.06362500000006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4" zoomScale="50" zoomScaleNormal="40" zoomScalePageLayoutView="50" workbookViewId="0">
      <selection activeCell="D72" sqref="D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42474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42480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93.6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93.6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19164641</v>
      </c>
      <c r="E38" s="133">
        <f>IF(ISBLANK(D38),"-",$D$48/$D$45*D38)</f>
        <v>21473564.555237345</v>
      </c>
      <c r="F38" s="132">
        <v>21490609</v>
      </c>
      <c r="G38" s="134">
        <f>IF(ISBLANK(F38),"-",$D$48/$F$45*F38)</f>
        <v>21538510.647680439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19134613</v>
      </c>
      <c r="E39" s="138">
        <f>IF(ISBLANK(D39),"-",$D$48/$D$45*D39)</f>
        <v>21439918.832551245</v>
      </c>
      <c r="F39" s="137">
        <v>21348997</v>
      </c>
      <c r="G39" s="139">
        <f>IF(ISBLANK(F39),"-",$D$48/$F$45*F39)</f>
        <v>21396583.000593316</v>
      </c>
      <c r="I39" s="307">
        <f>ABS((F43/D43*D42)-F42)/D42</f>
        <v>1.3050546244126795E-3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19078615</v>
      </c>
      <c r="E40" s="138">
        <f>IF(ISBLANK(D40),"-",$D$48/$D$45*D40)</f>
        <v>21377174.288160134</v>
      </c>
      <c r="F40" s="137">
        <v>21233188</v>
      </c>
      <c r="G40" s="139">
        <f>IF(ISBLANK(F40),"-",$D$48/$F$45*F40)</f>
        <v>21280515.867288847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19125956.333333332</v>
      </c>
      <c r="E42" s="148">
        <f>AVERAGE(E38:E41)</f>
        <v>21430219.225316241</v>
      </c>
      <c r="F42" s="147">
        <f>AVERAGE(F38:F41)</f>
        <v>21357598</v>
      </c>
      <c r="G42" s="149">
        <f>AVERAGE(G38:G41)</f>
        <v>21405203.171854198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19.07</v>
      </c>
      <c r="E43" s="140"/>
      <c r="F43" s="152">
        <v>21.32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19.07</v>
      </c>
      <c r="E44" s="155"/>
      <c r="F44" s="154">
        <f>F43*$B$34</f>
        <v>21.32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17.849519999999998</v>
      </c>
      <c r="E45" s="158"/>
      <c r="F45" s="157">
        <f>F44*$B$30/100</f>
        <v>19.95552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0.17849519999999999</v>
      </c>
      <c r="E46" s="160"/>
      <c r="F46" s="161">
        <f>F45/$B$45</f>
        <v>0.19955519999999999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21417711.198585223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4.1297845699165489E-3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Quinine Sulphate B.P 300MG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QUININE SULPHATE</v>
      </c>
      <c r="H56" s="179"/>
    </row>
    <row r="57" spans="1:12" ht="18.75" x14ac:dyDescent="0.3">
      <c r="A57" s="176" t="s">
        <v>88</v>
      </c>
      <c r="B57" s="268">
        <f>Uniformity!C46</f>
        <v>384.82250000000005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0" t="s">
        <v>94</v>
      </c>
      <c r="D60" s="313">
        <v>380.16</v>
      </c>
      <c r="E60" s="182">
        <v>1</v>
      </c>
      <c r="F60" s="183">
        <v>18480622</v>
      </c>
      <c r="G60" s="269">
        <f>IF(ISBLANK(F60),"-",(F60/$D$50*$D$47*$B$68)*($B$57/$D$60))</f>
        <v>291.14967453284771</v>
      </c>
      <c r="H60" s="184">
        <f t="shared" ref="H60:H71" si="0">IF(ISBLANK(F60),"-",G60/$B$56)</f>
        <v>0.97049891510949238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1"/>
      <c r="D61" s="314"/>
      <c r="E61" s="185">
        <v>2</v>
      </c>
      <c r="F61" s="137">
        <v>18581936</v>
      </c>
      <c r="G61" s="270">
        <f>IF(ISBLANK(F61),"-",(F61/$D$50*$D$47*$B$68)*($B$57/$D$60))</f>
        <v>292.74580793818558</v>
      </c>
      <c r="H61" s="186">
        <f t="shared" si="0"/>
        <v>0.97581935979395196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18341706</v>
      </c>
      <c r="G62" s="270">
        <f>IF(ISBLANK(F62),"-",(F62/$D$50*$D$47*$B$68)*($B$57/$D$60))</f>
        <v>288.96114710193086</v>
      </c>
      <c r="H62" s="186">
        <f t="shared" si="0"/>
        <v>0.96320382367310287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397.54</v>
      </c>
      <c r="E64" s="182">
        <v>1</v>
      </c>
      <c r="F64" s="183">
        <v>19414793</v>
      </c>
      <c r="G64" s="271">
        <f>IF(ISBLANK(F64),"-",(F64/$D$50*$D$47*$B$68)*($B$57/$D$64))</f>
        <v>292.49474970909057</v>
      </c>
      <c r="H64" s="190">
        <f t="shared" si="0"/>
        <v>0.97498249903030187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19344901</v>
      </c>
      <c r="G65" s="272">
        <f>IF(ISBLANK(F65),"-",(F65/$D$50*$D$47*$B$68)*($B$57/$D$64))</f>
        <v>291.44178751440387</v>
      </c>
      <c r="H65" s="191">
        <f t="shared" si="0"/>
        <v>0.97147262504801291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19365585</v>
      </c>
      <c r="G66" s="272">
        <f>IF(ISBLANK(F66),"-",(F66/$D$50*$D$47*$B$68)*($B$57/$D$64))</f>
        <v>291.75340357968889</v>
      </c>
      <c r="H66" s="191">
        <f t="shared" si="0"/>
        <v>0.97251134526562966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1666.6666666666667</v>
      </c>
      <c r="C68" s="310" t="s">
        <v>104</v>
      </c>
      <c r="D68" s="313">
        <v>379.02</v>
      </c>
      <c r="E68" s="182">
        <v>1</v>
      </c>
      <c r="F68" s="183">
        <v>18627847</v>
      </c>
      <c r="G68" s="271">
        <f>IF(ISBLANK(F68),"-",(F68/$D$50*$D$47*$B$68)*($B$57/$D$68))</f>
        <v>294.35178833612372</v>
      </c>
      <c r="H68" s="186">
        <f t="shared" si="0"/>
        <v>0.98117262778707903</v>
      </c>
    </row>
    <row r="69" spans="1:8" ht="27" customHeight="1" x14ac:dyDescent="0.4">
      <c r="A69" s="172" t="s">
        <v>105</v>
      </c>
      <c r="B69" s="194">
        <f>(D47*B68)/B56*B57</f>
        <v>427.58055555555563</v>
      </c>
      <c r="C69" s="311"/>
      <c r="D69" s="314"/>
      <c r="E69" s="185">
        <v>2</v>
      </c>
      <c r="F69" s="137">
        <v>18501804</v>
      </c>
      <c r="G69" s="272">
        <f>IF(ISBLANK(F69),"-",(F69/$D$50*$D$47*$B$68)*($B$57/$D$68))</f>
        <v>292.36009372658293</v>
      </c>
      <c r="H69" s="186">
        <f t="shared" si="0"/>
        <v>0.97453364575527646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18266121</v>
      </c>
      <c r="G70" s="272">
        <f>IF(ISBLANK(F70),"-",(F70/$D$50*$D$47*$B$68)*($B$57/$D$68))</f>
        <v>288.6358999144681</v>
      </c>
      <c r="H70" s="186">
        <f t="shared" si="0"/>
        <v>0.96211966638156032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291.54381692814695</v>
      </c>
      <c r="H72" s="199">
        <f>AVERAGE(H60:H71)</f>
        <v>0.97181272309382316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6.211540054548513E-3</v>
      </c>
      <c r="H73" s="274">
        <f>STDEV(H60:H71)/H72</f>
        <v>6.2115400545485113E-3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QUININE SULPHATE</v>
      </c>
      <c r="D76" s="297"/>
      <c r="E76" s="205" t="s">
        <v>108</v>
      </c>
      <c r="F76" s="205"/>
      <c r="G76" s="206">
        <f>H72</f>
        <v>0.97181272309382316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Quinine Sulfate</v>
      </c>
      <c r="C79" s="320"/>
    </row>
    <row r="80" spans="1:8" ht="26.25" customHeight="1" x14ac:dyDescent="0.4">
      <c r="A80" s="109" t="s">
        <v>48</v>
      </c>
      <c r="B80" s="320" t="str">
        <f>B27</f>
        <v>Q1 1</v>
      </c>
      <c r="C80" s="320"/>
    </row>
    <row r="81" spans="1:12" ht="27" customHeight="1" x14ac:dyDescent="0.4">
      <c r="A81" s="109" t="s">
        <v>6</v>
      </c>
      <c r="B81" s="208">
        <f>B28</f>
        <v>93.6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93.6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0.4173</v>
      </c>
      <c r="E91" s="133">
        <f>IF(ISBLANK(D91),"-",$D$101/$D$98*D91)</f>
        <v>0.51458140966451205</v>
      </c>
      <c r="F91" s="132">
        <v>0.49869999999999998</v>
      </c>
      <c r="G91" s="134">
        <f>IF(ISBLANK(F91),"-",$D$101/$F$98*F91)</f>
        <v>0.52112592458836593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0.41760000000000003</v>
      </c>
      <c r="E92" s="138">
        <f>IF(ISBLANK(D92),"-",$D$101/$D$98*D92)</f>
        <v>0.51495134597627668</v>
      </c>
      <c r="F92" s="137">
        <v>0.49969999999999998</v>
      </c>
      <c r="G92" s="139">
        <f>IF(ISBLANK(F92),"-",$D$101/$F$98*F92)</f>
        <v>0.52217089335633937</v>
      </c>
      <c r="I92" s="307">
        <f>ABS((F96/D96*D95)-F95)/D95</f>
        <v>2.129118378200269E-2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0.41270000000000001</v>
      </c>
      <c r="E93" s="138">
        <f>IF(ISBLANK(D93),"-",$D$101/$D$98*D93)</f>
        <v>0.50890905288412203</v>
      </c>
      <c r="F93" s="137">
        <v>0.50039999999999996</v>
      </c>
      <c r="G93" s="139">
        <f>IF(ISBLANK(F93),"-",$D$101/$F$98*F93)</f>
        <v>0.52290237149392083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0.41586666666666666</v>
      </c>
      <c r="E95" s="148">
        <f>AVERAGE(E91:E94)</f>
        <v>0.51281393617497029</v>
      </c>
      <c r="F95" s="218">
        <f>AVERAGE(F91:F94)</f>
        <v>0.49959999999999999</v>
      </c>
      <c r="G95" s="219">
        <f>AVERAGE(G91:G94)</f>
        <v>0.52206639647954212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18.05</v>
      </c>
      <c r="E96" s="140"/>
      <c r="F96" s="152">
        <v>21.3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18.05</v>
      </c>
      <c r="E97" s="155"/>
      <c r="F97" s="154">
        <f>F96*$B$87</f>
        <v>21.3</v>
      </c>
    </row>
    <row r="98" spans="1:10" ht="19.5" customHeight="1" x14ac:dyDescent="0.3">
      <c r="A98" s="124" t="s">
        <v>76</v>
      </c>
      <c r="B98" s="224">
        <f>(B97/B96)*(B95/B94)*(B93/B92)*(B91/B90)*B89</f>
        <v>625</v>
      </c>
      <c r="C98" s="222" t="s">
        <v>115</v>
      </c>
      <c r="D98" s="225">
        <f>D97*$B$83/100</f>
        <v>16.8948</v>
      </c>
      <c r="E98" s="158"/>
      <c r="F98" s="157">
        <f>F97*$B$83/100</f>
        <v>19.936799999999998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2.7031679999999999E-2</v>
      </c>
      <c r="E99" s="158"/>
      <c r="F99" s="161">
        <f>F98/$B$98</f>
        <v>3.1898879999999998E-2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3.3333333333333333E-2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20.833333333333332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20.833333333333332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0.5174401663272562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1.0688707334480107E-2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0.47949999999999998</v>
      </c>
      <c r="E108" s="275">
        <f t="shared" ref="E108:E113" si="1">IF(ISBLANK(D108),"-",D108/$D$103*$D$100*$B$116)</f>
        <v>278.00315739119048</v>
      </c>
      <c r="F108" s="245">
        <f t="shared" ref="F108:F113" si="2">IF(ISBLANK(D108), "-", E108/$B$56)</f>
        <v>0.92667719130396831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0.48720000000000002</v>
      </c>
      <c r="E109" s="276">
        <f t="shared" si="1"/>
        <v>282.46744167046512</v>
      </c>
      <c r="F109" s="246">
        <f t="shared" si="2"/>
        <v>0.94155813890155038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0.48909999999999998</v>
      </c>
      <c r="E110" s="276">
        <f t="shared" si="1"/>
        <v>283.56901831080557</v>
      </c>
      <c r="F110" s="246">
        <f t="shared" si="2"/>
        <v>0.94523006103601859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0.49959999999999999</v>
      </c>
      <c r="E111" s="276">
        <f t="shared" si="1"/>
        <v>289.65667869163457</v>
      </c>
      <c r="F111" s="246">
        <f t="shared" si="2"/>
        <v>0.96552226230544858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0.49469999999999997</v>
      </c>
      <c r="E112" s="276">
        <f t="shared" si="1"/>
        <v>286.81577051391434</v>
      </c>
      <c r="F112" s="246">
        <f t="shared" si="2"/>
        <v>0.95605256837971453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0.48949999999999999</v>
      </c>
      <c r="E113" s="277">
        <f t="shared" si="1"/>
        <v>283.80092918245617</v>
      </c>
      <c r="F113" s="249">
        <f t="shared" si="2"/>
        <v>0.94600309727485388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284.05216596007773</v>
      </c>
      <c r="F115" s="252">
        <f>AVERAGE(F108:F113)</f>
        <v>0.94684055320025917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>
        <f>STDEV(E108:E113)/E115</f>
        <v>1.3944521755866947E-2</v>
      </c>
      <c r="F116" s="254">
        <f>STDEV(F108:F113)/F115</f>
        <v>1.394452175586695E-2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QUININE SULPHATE</v>
      </c>
      <c r="D120" s="297"/>
      <c r="E120" s="205" t="s">
        <v>124</v>
      </c>
      <c r="F120" s="205"/>
      <c r="G120" s="206">
        <f>F115</f>
        <v>0.94684055320025917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Quinine Sulfate</vt:lpstr>
      <vt:lpstr>'Quinine Sulfate'!Print_Area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2016-04-20T06:02:37Z</cp:lastPrinted>
  <dcterms:created xsi:type="dcterms:W3CDTF">2005-07-05T10:19:27Z</dcterms:created>
  <dcterms:modified xsi:type="dcterms:W3CDTF">2016-04-20T06:04:32Z</dcterms:modified>
</cp:coreProperties>
</file>