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9405" activeTab="2"/>
  </bookViews>
  <sheets>
    <sheet name="SST" sheetId="1" r:id="rId1"/>
    <sheet name="Uniformity" sheetId="2" r:id="rId2"/>
    <sheet name="Amoxicillin" sheetId="3" r:id="rId3"/>
  </sheets>
  <definedNames>
    <definedName name="_xlnm.Print_Area" localSheetId="2">Amoxicillin!$A$1:$J$127</definedName>
    <definedName name="_xlnm.Print_Area" localSheetId="1">Uniformity!$A$1:$I$52</definedName>
  </definedNames>
  <calcPr calcId="145621"/>
</workbook>
</file>

<file path=xl/calcChain.xml><?xml version="1.0" encoding="utf-8"?>
<calcChain xmlns="http://schemas.openxmlformats.org/spreadsheetml/2006/main">
  <c r="F113" i="3" l="1"/>
  <c r="F111" i="3"/>
  <c r="F108" i="3"/>
  <c r="B98" i="3"/>
  <c r="B87" i="3" l="1"/>
  <c r="H70" i="3"/>
  <c r="H65" i="3"/>
  <c r="H61" i="3"/>
  <c r="H68" i="3"/>
  <c r="H64" i="3"/>
  <c r="H60" i="3"/>
  <c r="G60" i="3"/>
  <c r="B69" i="3"/>
  <c r="B68" i="3"/>
  <c r="B57" i="3"/>
  <c r="B45" i="3"/>
  <c r="B34" i="3"/>
  <c r="B30" i="3"/>
  <c r="C120" i="3"/>
  <c r="B116" i="3"/>
  <c r="D100" i="3" s="1"/>
  <c r="F95" i="3"/>
  <c r="D95" i="3"/>
  <c r="F97" i="3"/>
  <c r="B81" i="3"/>
  <c r="B83" i="3" s="1"/>
  <c r="B80" i="3"/>
  <c r="B79" i="3"/>
  <c r="C76" i="3"/>
  <c r="C56" i="3"/>
  <c r="B55" i="3"/>
  <c r="D48" i="3"/>
  <c r="F42" i="3"/>
  <c r="D42" i="3"/>
  <c r="F44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E91" i="3" s="1"/>
  <c r="I39" i="3"/>
  <c r="F45" i="3"/>
  <c r="F98" i="3"/>
  <c r="E39" i="2"/>
  <c r="E29" i="2"/>
  <c r="E33" i="2"/>
  <c r="D49" i="3"/>
  <c r="E21" i="2"/>
  <c r="D43" i="2"/>
  <c r="E35" i="2" s="1"/>
  <c r="D97" i="3"/>
  <c r="D98" i="3" s="1"/>
  <c r="D44" i="3"/>
  <c r="D45" i="3" s="1"/>
  <c r="F99" i="3" l="1"/>
  <c r="G91" i="3"/>
  <c r="D102" i="3"/>
  <c r="G92" i="3"/>
  <c r="F46" i="3"/>
  <c r="G38" i="3"/>
  <c r="D46" i="3"/>
  <c r="E38" i="3"/>
  <c r="G41" i="3"/>
  <c r="G94" i="3"/>
  <c r="G93" i="3"/>
  <c r="G39" i="3"/>
  <c r="G40" i="3"/>
  <c r="E41" i="3"/>
  <c r="E25" i="2"/>
  <c r="D99" i="3"/>
  <c r="E93" i="3"/>
  <c r="E39" i="3"/>
  <c r="E92" i="3"/>
  <c r="E94" i="3"/>
  <c r="C47" i="2"/>
  <c r="E40" i="2"/>
  <c r="E38" i="2"/>
  <c r="E36" i="2"/>
  <c r="E32" i="2"/>
  <c r="E26" i="2"/>
  <c r="E22" i="2"/>
  <c r="D48" i="2"/>
  <c r="B47" i="2"/>
  <c r="E28" i="2"/>
  <c r="C48" i="2"/>
  <c r="D47" i="2"/>
  <c r="E34" i="2"/>
  <c r="E30" i="2"/>
  <c r="E24" i="2"/>
  <c r="E31" i="2"/>
  <c r="E40" i="3"/>
  <c r="E37" i="2"/>
  <c r="E27" i="2"/>
  <c r="E23" i="2"/>
  <c r="G95" i="3" l="1"/>
  <c r="D103" i="3"/>
  <c r="E108" i="3" s="1"/>
  <c r="G42" i="3"/>
  <c r="D105" i="3"/>
  <c r="E95" i="3"/>
  <c r="D50" i="3"/>
  <c r="E42" i="3"/>
  <c r="D52" i="3"/>
  <c r="E112" i="3" l="1"/>
  <c r="F112" i="3" s="1"/>
  <c r="E111" i="3"/>
  <c r="E109" i="3"/>
  <c r="F109" i="3" s="1"/>
  <c r="E113" i="3"/>
  <c r="E110" i="3"/>
  <c r="F110" i="3" s="1"/>
  <c r="D104" i="3"/>
  <c r="G70" i="3"/>
  <c r="G67" i="3"/>
  <c r="H67" i="3" s="1"/>
  <c r="G65" i="3"/>
  <c r="G63" i="3"/>
  <c r="H63" i="3" s="1"/>
  <c r="G61" i="3"/>
  <c r="G68" i="3"/>
  <c r="G71" i="3"/>
  <c r="H71" i="3" s="1"/>
  <c r="G69" i="3"/>
  <c r="H69" i="3" s="1"/>
  <c r="G66" i="3"/>
  <c r="H66" i="3" s="1"/>
  <c r="G64" i="3"/>
  <c r="G62" i="3"/>
  <c r="H62" i="3" s="1"/>
  <c r="D51" i="3"/>
  <c r="F117" i="3" l="1"/>
  <c r="F115" i="3"/>
  <c r="G120" i="3" s="1"/>
  <c r="H72" i="3"/>
  <c r="H74" i="3"/>
  <c r="F116" i="3" l="1"/>
  <c r="G76" i="3"/>
  <c r="H73" i="3"/>
</calcChain>
</file>

<file path=xl/sharedStrings.xml><?xml version="1.0" encoding="utf-8"?>
<sst xmlns="http://schemas.openxmlformats.org/spreadsheetml/2006/main" count="240" uniqueCount="131">
  <si>
    <t>HPLC System Suitability Report</t>
  </si>
  <si>
    <t>Analysis Data</t>
  </si>
  <si>
    <t>Assay</t>
  </si>
  <si>
    <t>Sample(s)</t>
  </si>
  <si>
    <t>Reference Substance:</t>
  </si>
  <si>
    <t>AMOXICILLIN CAPSULES B.P 250 mg</t>
  </si>
  <si>
    <t>% age Purity:</t>
  </si>
  <si>
    <t>NDQD201505233</t>
  </si>
  <si>
    <t>Weight (mg):</t>
  </si>
  <si>
    <t>Amoxicillin Trihydrate BP</t>
  </si>
  <si>
    <t>Standard Conc (mg/mL):</t>
  </si>
  <si>
    <t>Amoxicillin trihydrate B.P 250 mg</t>
  </si>
  <si>
    <t>2015-05-14 13:46:07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</si>
  <si>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</si>
  <si>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</si>
  <si>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</si>
  <si>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</si>
  <si>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</si>
  <si>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</si>
  <si>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</si>
  <si>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</si>
  <si>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</si>
  <si>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</si>
  <si>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</si>
  <si>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</si>
  <si>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</si>
  <si>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</si>
  <si>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</si>
  <si>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</si>
  <si>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</si>
  <si>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</si>
  <si>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</si>
  <si>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</si>
  <si>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</si>
  <si>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</si>
  <si>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</si>
  <si>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</si>
  <si>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</si>
  <si>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</si>
  <si>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2015-06-29 10:16:57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</si>
  <si>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</si>
  <si>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</si>
  <si>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</si>
  <si>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</si>
  <si>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</si>
  <si>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</si>
  <si>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</si>
  <si>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</si>
  <si>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</si>
  <si>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</si>
  <si>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</si>
  <si>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</si>
  <si>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</si>
  <si>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</si>
  <si>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</si>
  <si>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</si>
  <si>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</si>
  <si>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</si>
  <si>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</si>
  <si>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</si>
  <si>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</si>
  <si>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</si>
  <si>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</si>
  <si>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</si>
  <si>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</si>
  <si>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</si>
  <si>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</si>
  <si>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</si>
  <si>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</si>
  <si>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</si>
  <si>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</si>
  <si>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</si>
  <si>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</si>
  <si>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</si>
  <si>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</si>
  <si>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</si>
  <si>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</si>
  <si>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</si>
  <si>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</si>
  <si>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</si>
  <si>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</si>
  <si>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</si>
  <si>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</si>
  <si>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</si>
  <si>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</si>
  <si>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</si>
  <si>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</si>
  <si>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</si>
  <si>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</si>
  <si>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</si>
  <si>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</si>
  <si>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</si>
  <si>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</si>
  <si>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</si>
  <si>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</si>
  <si>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</si>
  <si>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</si>
  <si>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</si>
  <si>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</si>
  <si>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</si>
  <si>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</si>
  <si>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</si>
  <si>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</si>
  <si>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</si>
  <si>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</si>
  <si>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</si>
  <si>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</si>
  <si>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</si>
  <si>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</si>
  <si>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</si>
  <si>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</si>
  <si>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</si>
  <si>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</si>
  <si>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</si>
  <si>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</si>
  <si>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</si>
  <si>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</si>
  <si>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</si>
  <si>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</si>
  <si>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</si>
  <si>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</si>
  <si>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</si>
  <si>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</si>
  <si>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</si>
  <si>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</si>
  <si>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</si>
  <si>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</si>
  <si>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</si>
  <si>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29th June 2015</t>
  </si>
  <si>
    <t>Amoxicillin</t>
  </si>
  <si>
    <t>A18-015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</si>
</sst>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0" fontId="11" fillId="2" borderId="6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center"/>
    </xf>
    <xf numFmtId="0" fontId="11" fillId="2" borderId="61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171" fontId="13" fillId="3" borderId="43" xfId="0" applyNumberFormat="1" applyFont="1" applyFill="1" applyBorder="1" applyAlignment="1" applyProtection="1">
      <alignment horizontal="center"/>
      <protection locked="0"/>
    </xf>
    <xf numFmtId="171" fontId="13" fillId="3" borderId="46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62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2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5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2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2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3" t="s">
        <v>0</v>
      </c>
      <c r="B15" s="303"/>
      <c r="C15" s="303"/>
      <c r="D15" s="303"/>
      <c r="E15" s="30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4" t="s">
        <v>26</v>
      </c>
      <c r="C59" s="30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zoomScale="60" zoomScaleNormal="100" workbookViewId="0">
      <selection activeCell="C11" sqref="C11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10" t="s">
        <v>31</v>
      </c>
      <c r="B8" s="310"/>
      <c r="C8" s="310"/>
      <c r="D8" s="310"/>
      <c r="E8" s="310"/>
      <c r="F8" s="310"/>
      <c r="G8" s="310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1" t="s">
        <v>32</v>
      </c>
      <c r="B10" s="311"/>
      <c r="C10" s="311"/>
      <c r="D10" s="311"/>
      <c r="E10" s="311"/>
      <c r="F10" s="311"/>
      <c r="G10" s="311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5" t="s">
        <v>33</v>
      </c>
      <c r="B11" s="305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5" t="s">
        <v>34</v>
      </c>
      <c r="B12" s="305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5" t="s">
        <v>35</v>
      </c>
      <c r="B13" s="305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5" t="s">
        <v>36</v>
      </c>
      <c r="B14" s="305"/>
      <c r="C14" s="309" t="s">
        <v>11</v>
      </c>
      <c r="D14" s="309"/>
      <c r="E14" s="309"/>
      <c r="F14" s="309"/>
      <c r="G14" s="309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5" t="s">
        <v>37</v>
      </c>
      <c r="B15" s="305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5" t="s">
        <v>38</v>
      </c>
      <c r="B16" s="305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6" t="s">
        <v>1</v>
      </c>
      <c r="B18" s="306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351.53</v>
      </c>
      <c r="C21" s="83">
        <v>62.2</v>
      </c>
      <c r="D21" s="84">
        <f t="shared" ref="D21:D40" si="0">B21-C21</f>
        <v>289.33</v>
      </c>
      <c r="E21" s="85">
        <f t="shared" ref="E21:E40" si="1">(D21-$D$43)/$D$43</f>
        <v>-9.7762901434530324E-3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356.28</v>
      </c>
      <c r="C22" s="88">
        <v>63.29</v>
      </c>
      <c r="D22" s="89">
        <f t="shared" si="0"/>
        <v>292.98999999999995</v>
      </c>
      <c r="E22" s="85">
        <f t="shared" si="1"/>
        <v>2.749955935677824E-3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351.49</v>
      </c>
      <c r="C23" s="88">
        <v>61.16</v>
      </c>
      <c r="D23" s="89">
        <f t="shared" si="0"/>
        <v>290.33000000000004</v>
      </c>
      <c r="E23" s="85">
        <f t="shared" si="1"/>
        <v>-6.3538185371329013E-3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353.63</v>
      </c>
      <c r="C24" s="88">
        <v>62.07</v>
      </c>
      <c r="D24" s="89">
        <f t="shared" si="0"/>
        <v>291.56</v>
      </c>
      <c r="E24" s="85">
        <f t="shared" si="1"/>
        <v>-2.1441784613595127E-3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354.39</v>
      </c>
      <c r="C25" s="88">
        <v>59.45</v>
      </c>
      <c r="D25" s="89">
        <f t="shared" si="0"/>
        <v>294.94</v>
      </c>
      <c r="E25" s="85">
        <f t="shared" si="1"/>
        <v>9.4237755680018544E-3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366.6</v>
      </c>
      <c r="C26" s="88">
        <v>63.86</v>
      </c>
      <c r="D26" s="89">
        <f t="shared" si="0"/>
        <v>302.74</v>
      </c>
      <c r="E26" s="85">
        <f t="shared" si="1"/>
        <v>3.611905409729739E-2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357.32</v>
      </c>
      <c r="C27" s="88">
        <v>62.12</v>
      </c>
      <c r="D27" s="89">
        <f t="shared" si="0"/>
        <v>295.2</v>
      </c>
      <c r="E27" s="85">
        <f t="shared" si="1"/>
        <v>1.0313618185645006E-2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343.98</v>
      </c>
      <c r="C28" s="88">
        <v>64.709999999999994</v>
      </c>
      <c r="D28" s="89">
        <f t="shared" si="0"/>
        <v>279.27000000000004</v>
      </c>
      <c r="E28" s="85">
        <f t="shared" si="1"/>
        <v>-4.4206354503031398E-2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359.12</v>
      </c>
      <c r="C29" s="88">
        <v>63.2</v>
      </c>
      <c r="D29" s="89">
        <f t="shared" si="0"/>
        <v>295.92</v>
      </c>
      <c r="E29" s="85">
        <f t="shared" si="1"/>
        <v>1.2777797742195453E-2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365.09</v>
      </c>
      <c r="C30" s="88">
        <v>62.17</v>
      </c>
      <c r="D30" s="89">
        <f t="shared" si="0"/>
        <v>302.91999999999996</v>
      </c>
      <c r="E30" s="85">
        <f t="shared" si="1"/>
        <v>3.673509898643481E-2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322.8</v>
      </c>
      <c r="C31" s="88">
        <v>64.78</v>
      </c>
      <c r="D31" s="89">
        <f t="shared" si="0"/>
        <v>258.02</v>
      </c>
      <c r="E31" s="85">
        <f t="shared" si="1"/>
        <v>-0.11693387613733022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363.92</v>
      </c>
      <c r="C32" s="88">
        <v>63.64</v>
      </c>
      <c r="D32" s="89">
        <f t="shared" si="0"/>
        <v>300.28000000000003</v>
      </c>
      <c r="E32" s="85">
        <f t="shared" si="1"/>
        <v>2.7699773945750419E-2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364.14</v>
      </c>
      <c r="C33" s="88">
        <v>61.98</v>
      </c>
      <c r="D33" s="89">
        <f t="shared" si="0"/>
        <v>302.15999999999997</v>
      </c>
      <c r="E33" s="85">
        <f t="shared" si="1"/>
        <v>3.4134020565631688E-2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353.49</v>
      </c>
      <c r="C34" s="88">
        <v>62.5</v>
      </c>
      <c r="D34" s="89">
        <f t="shared" si="0"/>
        <v>290.99</v>
      </c>
      <c r="E34" s="85">
        <f t="shared" si="1"/>
        <v>-4.0949872769618532E-3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354.65</v>
      </c>
      <c r="C35" s="88">
        <v>61.44</v>
      </c>
      <c r="D35" s="89">
        <f t="shared" si="0"/>
        <v>293.20999999999998</v>
      </c>
      <c r="E35" s="85">
        <f t="shared" si="1"/>
        <v>3.5028996890683031E-3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360.88</v>
      </c>
      <c r="C36" s="88">
        <v>62.35</v>
      </c>
      <c r="D36" s="89">
        <f t="shared" si="0"/>
        <v>298.52999999999997</v>
      </c>
      <c r="E36" s="85">
        <f t="shared" si="1"/>
        <v>2.1710448634690339E-2</v>
      </c>
      <c r="G36" s="66"/>
      <c r="H36" s="66"/>
    </row>
    <row r="37" spans="1:15" ht="15" x14ac:dyDescent="0.3">
      <c r="A37" s="86">
        <v>17</v>
      </c>
      <c r="B37" s="90">
        <v>355.12</v>
      </c>
      <c r="C37" s="88">
        <v>60.92</v>
      </c>
      <c r="D37" s="89">
        <f t="shared" si="0"/>
        <v>294.2</v>
      </c>
      <c r="E37" s="85">
        <f t="shared" si="1"/>
        <v>6.8911465793250705E-3</v>
      </c>
    </row>
    <row r="38" spans="1:15" ht="15" x14ac:dyDescent="0.3">
      <c r="A38" s="86">
        <v>18</v>
      </c>
      <c r="B38" s="90">
        <v>349.76</v>
      </c>
      <c r="C38" s="88">
        <v>62.75</v>
      </c>
      <c r="D38" s="89">
        <f t="shared" si="0"/>
        <v>287.01</v>
      </c>
      <c r="E38" s="85">
        <f t="shared" si="1"/>
        <v>-1.7716424270115258E-2</v>
      </c>
    </row>
    <row r="39" spans="1:15" ht="15" x14ac:dyDescent="0.3">
      <c r="A39" s="86">
        <v>19</v>
      </c>
      <c r="B39" s="90">
        <v>347.18</v>
      </c>
      <c r="C39" s="88">
        <v>61.42</v>
      </c>
      <c r="D39" s="89">
        <f t="shared" si="0"/>
        <v>285.76</v>
      </c>
      <c r="E39" s="85">
        <f t="shared" si="1"/>
        <v>-2.199451377801518E-2</v>
      </c>
    </row>
    <row r="40" spans="1:15" ht="14.25" customHeight="1" x14ac:dyDescent="0.3">
      <c r="A40" s="91">
        <v>20</v>
      </c>
      <c r="B40" s="92">
        <v>363.93</v>
      </c>
      <c r="C40" s="93">
        <v>65.56</v>
      </c>
      <c r="D40" s="94">
        <f t="shared" si="0"/>
        <v>298.37</v>
      </c>
      <c r="E40" s="95">
        <f t="shared" si="1"/>
        <v>2.1162853177679259E-2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7095.3</v>
      </c>
      <c r="C42" s="98">
        <f>SUM(C21:C40)</f>
        <v>1251.57</v>
      </c>
      <c r="D42" s="99">
        <f>SUM(D21:D40)</f>
        <v>5843.7300000000005</v>
      </c>
    </row>
    <row r="43" spans="1:15" ht="15.75" customHeight="1" x14ac:dyDescent="0.3">
      <c r="A43" s="100" t="s">
        <v>47</v>
      </c>
      <c r="B43" s="101">
        <f>AVERAGE(B21:B40)</f>
        <v>354.76499999999999</v>
      </c>
      <c r="C43" s="102">
        <f>AVERAGE(C21:C40)</f>
        <v>62.578499999999998</v>
      </c>
      <c r="D43" s="103">
        <f>AVERAGE(D21:D40)</f>
        <v>292.18650000000002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07">
        <f>D43</f>
        <v>292.18650000000002</v>
      </c>
      <c r="C47" s="107">
        <f>-(IF(D43&gt;300, 7.5%, 10%))</f>
        <v>-0.1</v>
      </c>
      <c r="D47" s="108">
        <f>IF(D43&lt;300, D43*0.9, D43*0.925)</f>
        <v>262.96785000000006</v>
      </c>
    </row>
    <row r="48" spans="1:15" ht="15.75" customHeight="1" x14ac:dyDescent="0.3">
      <c r="B48" s="308"/>
      <c r="C48" s="109">
        <f>+(IF(D43&gt;300, 7.5%, 10%))</f>
        <v>0.1</v>
      </c>
      <c r="D48" s="108">
        <f>IF(D43&lt;300, D43*1.1, D43*1.075)</f>
        <v>321.40515000000005</v>
      </c>
    </row>
    <row r="49" spans="1:7" ht="14.25" customHeight="1" x14ac:dyDescent="0.3">
      <c r="A49" s="110"/>
      <c r="D49" s="111"/>
    </row>
    <row r="50" spans="1:7" ht="15" customHeight="1" x14ac:dyDescent="0.3">
      <c r="B50" s="304" t="s">
        <v>26</v>
      </c>
      <c r="C50" s="304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7" priority="1" operator="notBetween">
      <formula>IF(+$D$43&lt;300, -10.5%, -7.5%)</formula>
      <formula>IF(+$D$43&lt;300, 10.5%, 7.5%)</formula>
    </cfRule>
  </conditionalFormatting>
  <conditionalFormatting sqref="E22">
    <cfRule type="cellIs" dxfId="26" priority="2" operator="notBetween">
      <formula>IF(+$D$43&lt;300, -10.5%, -7.5%)</formula>
      <formula>IF(+$D$43&lt;300, 10.5%, 7.5%)</formula>
    </cfRule>
  </conditionalFormatting>
  <conditionalFormatting sqref="E23">
    <cfRule type="cellIs" dxfId="25" priority="3" operator="notBetween">
      <formula>IF(+$D$43&lt;300, -10.5%, -7.5%)</formula>
      <formula>IF(+$D$43&lt;300, 10.5%, 7.5%)</formula>
    </cfRule>
  </conditionalFormatting>
  <conditionalFormatting sqref="E24">
    <cfRule type="cellIs" dxfId="24" priority="4" operator="notBetween">
      <formula>IF(+$D$43&lt;300, -10.5%, -7.5%)</formula>
      <formula>IF(+$D$43&lt;300, 10.5%, 7.5%)</formula>
    </cfRule>
  </conditionalFormatting>
  <conditionalFormatting sqref="E25">
    <cfRule type="cellIs" dxfId="23" priority="5" operator="notBetween">
      <formula>IF(+$D$43&lt;300, -10.5%, -7.5%)</formula>
      <formula>IF(+$D$43&lt;300, 10.5%, 7.5%)</formula>
    </cfRule>
  </conditionalFormatting>
  <conditionalFormatting sqref="E26">
    <cfRule type="cellIs" dxfId="22" priority="6" operator="notBetween">
      <formula>IF(+$D$43&lt;300, -10.5%, -7.5%)</formula>
      <formula>IF(+$D$43&lt;300, 10.5%, 7.5%)</formula>
    </cfRule>
  </conditionalFormatting>
  <conditionalFormatting sqref="E27">
    <cfRule type="cellIs" dxfId="21" priority="7" operator="notBetween">
      <formula>IF(+$D$43&lt;300, -10.5%, -7.5%)</formula>
      <formula>IF(+$D$43&lt;300, 10.5%, 7.5%)</formula>
    </cfRule>
  </conditionalFormatting>
  <conditionalFormatting sqref="E28">
    <cfRule type="cellIs" dxfId="20" priority="8" operator="notBetween">
      <formula>IF(+$D$43&lt;300, -10.5%, -7.5%)</formula>
      <formula>IF(+$D$43&lt;300, 10.5%, 7.5%)</formula>
    </cfRule>
  </conditionalFormatting>
  <conditionalFormatting sqref="E29">
    <cfRule type="cellIs" dxfId="19" priority="9" operator="notBetween">
      <formula>IF(+$D$43&lt;300, -10.5%, -7.5%)</formula>
      <formula>IF(+$D$43&lt;300, 10.5%, 7.5%)</formula>
    </cfRule>
  </conditionalFormatting>
  <conditionalFormatting sqref="E30">
    <cfRule type="cellIs" dxfId="18" priority="10" operator="notBetween">
      <formula>IF(+$D$43&lt;300, -10.5%, -7.5%)</formula>
      <formula>IF(+$D$43&lt;300, 10.5%, 7.5%)</formula>
    </cfRule>
  </conditionalFormatting>
  <conditionalFormatting sqref="E31">
    <cfRule type="cellIs" dxfId="17" priority="11" operator="notBetween">
      <formula>IF(+$D$43&lt;300, -10.5%, -7.5%)</formula>
      <formula>IF(+$D$43&lt;300, 10.5%, 7.5%)</formula>
    </cfRule>
  </conditionalFormatting>
  <conditionalFormatting sqref="E32">
    <cfRule type="cellIs" dxfId="16" priority="12" operator="notBetween">
      <formula>IF(+$D$43&lt;300, -10.5%, -7.5%)</formula>
      <formula>IF(+$D$43&lt;300, 10.5%, 7.5%)</formula>
    </cfRule>
  </conditionalFormatting>
  <conditionalFormatting sqref="E33">
    <cfRule type="cellIs" dxfId="15" priority="13" operator="notBetween">
      <formula>IF(+$D$43&lt;300, -10.5%, -7.5%)</formula>
      <formula>IF(+$D$43&lt;300, 10.5%, 7.5%)</formula>
    </cfRule>
  </conditionalFormatting>
  <conditionalFormatting sqref="E34">
    <cfRule type="cellIs" dxfId="14" priority="14" operator="notBetween">
      <formula>IF(+$D$43&lt;300, -10.5%, -7.5%)</formula>
      <formula>IF(+$D$43&lt;300, 10.5%, 7.5%)</formula>
    </cfRule>
  </conditionalFormatting>
  <conditionalFormatting sqref="E35">
    <cfRule type="cellIs" dxfId="13" priority="15" operator="notBetween">
      <formula>IF(+$D$43&lt;300, -10.5%, -7.5%)</formula>
      <formula>IF(+$D$43&lt;300, 10.5%, 7.5%)</formula>
    </cfRule>
  </conditionalFormatting>
  <conditionalFormatting sqref="E36">
    <cfRule type="cellIs" dxfId="12" priority="16" operator="notBetween">
      <formula>IF(+$D$43&lt;300, -10.5%, -7.5%)</formula>
      <formula>IF(+$D$43&lt;300, 10.5%, 7.5%)</formula>
    </cfRule>
  </conditionalFormatting>
  <conditionalFormatting sqref="E37">
    <cfRule type="cellIs" dxfId="11" priority="17" operator="notBetween">
      <formula>IF(+$D$43&lt;300, -10.5%, -7.5%)</formula>
      <formula>IF(+$D$43&lt;300, 10.5%, 7.5%)</formula>
    </cfRule>
  </conditionalFormatting>
  <conditionalFormatting sqref="E38">
    <cfRule type="cellIs" dxfId="10" priority="18" operator="notBetween">
      <formula>IF(+$D$43&lt;300, -10.5%, -7.5%)</formula>
      <formula>IF(+$D$43&lt;300, 10.5%, 7.5%)</formula>
    </cfRule>
  </conditionalFormatting>
  <conditionalFormatting sqref="E39">
    <cfRule type="cellIs" dxfId="9" priority="19" operator="notBetween">
      <formula>IF(+$D$43&lt;300, -10.5%, -7.5%)</formula>
      <formula>IF(+$D$43&lt;300, 10.5%, 7.5%)</formula>
    </cfRule>
  </conditionalFormatting>
  <conditionalFormatting sqref="E40">
    <cfRule type="cellIs" dxfId="8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53" orientation="portrait" r:id="rId1"/>
  <colBreaks count="1" manualBreakCount="1">
    <brk id="12" max="5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98" zoomScale="60" zoomScaleNormal="40" zoomScalePageLayoutView="55" workbookViewId="0">
      <selection activeCell="C123" sqref="C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2" t="s">
        <v>49</v>
      </c>
      <c r="B1" s="312"/>
      <c r="C1" s="312"/>
      <c r="D1" s="312"/>
      <c r="E1" s="312"/>
      <c r="F1" s="312"/>
      <c r="G1" s="312"/>
      <c r="H1" s="312"/>
      <c r="I1" s="312"/>
    </row>
    <row r="2" spans="1:9" ht="18.75" customHeight="1" x14ac:dyDescent="0.25">
      <c r="A2" s="312"/>
      <c r="B2" s="312"/>
      <c r="C2" s="312"/>
      <c r="D2" s="312"/>
      <c r="E2" s="312"/>
      <c r="F2" s="312"/>
      <c r="G2" s="312"/>
      <c r="H2" s="312"/>
      <c r="I2" s="312"/>
    </row>
    <row r="3" spans="1:9" ht="18.75" customHeight="1" x14ac:dyDescent="0.25">
      <c r="A3" s="312"/>
      <c r="B3" s="312"/>
      <c r="C3" s="312"/>
      <c r="D3" s="312"/>
      <c r="E3" s="312"/>
      <c r="F3" s="312"/>
      <c r="G3" s="312"/>
      <c r="H3" s="312"/>
      <c r="I3" s="312"/>
    </row>
    <row r="4" spans="1:9" ht="18.75" customHeight="1" x14ac:dyDescent="0.25">
      <c r="A4" s="312"/>
      <c r="B4" s="312"/>
      <c r="C4" s="312"/>
      <c r="D4" s="312"/>
      <c r="E4" s="312"/>
      <c r="F4" s="312"/>
      <c r="G4" s="312"/>
      <c r="H4" s="312"/>
      <c r="I4" s="312"/>
    </row>
    <row r="5" spans="1:9" ht="18.75" customHeight="1" x14ac:dyDescent="0.25">
      <c r="A5" s="312"/>
      <c r="B5" s="312"/>
      <c r="C5" s="312"/>
      <c r="D5" s="312"/>
      <c r="E5" s="312"/>
      <c r="F5" s="312"/>
      <c r="G5" s="312"/>
      <c r="H5" s="312"/>
      <c r="I5" s="312"/>
    </row>
    <row r="6" spans="1:9" ht="18.75" customHeight="1" x14ac:dyDescent="0.25">
      <c r="A6" s="312"/>
      <c r="B6" s="312"/>
      <c r="C6" s="312"/>
      <c r="D6" s="312"/>
      <c r="E6" s="312"/>
      <c r="F6" s="312"/>
      <c r="G6" s="312"/>
      <c r="H6" s="312"/>
      <c r="I6" s="312"/>
    </row>
    <row r="7" spans="1:9" ht="18.75" customHeight="1" x14ac:dyDescent="0.25">
      <c r="A7" s="312"/>
      <c r="B7" s="312"/>
      <c r="C7" s="312"/>
      <c r="D7" s="312"/>
      <c r="E7" s="312"/>
      <c r="F7" s="312"/>
      <c r="G7" s="312"/>
      <c r="H7" s="312"/>
      <c r="I7" s="312"/>
    </row>
    <row r="8" spans="1:9" x14ac:dyDescent="0.25">
      <c r="A8" s="313" t="s">
        <v>50</v>
      </c>
      <c r="B8" s="313"/>
      <c r="C8" s="313"/>
      <c r="D8" s="313"/>
      <c r="E8" s="313"/>
      <c r="F8" s="313"/>
      <c r="G8" s="313"/>
      <c r="H8" s="313"/>
      <c r="I8" s="313"/>
    </row>
    <row r="9" spans="1:9" x14ac:dyDescent="0.25">
      <c r="A9" s="313"/>
      <c r="B9" s="313"/>
      <c r="C9" s="313"/>
      <c r="D9" s="313"/>
      <c r="E9" s="313"/>
      <c r="F9" s="313"/>
      <c r="G9" s="313"/>
      <c r="H9" s="313"/>
      <c r="I9" s="313"/>
    </row>
    <row r="10" spans="1:9" x14ac:dyDescent="0.25">
      <c r="A10" s="313"/>
      <c r="B10" s="313"/>
      <c r="C10" s="313"/>
      <c r="D10" s="313"/>
      <c r="E10" s="313"/>
      <c r="F10" s="313"/>
      <c r="G10" s="313"/>
      <c r="H10" s="313"/>
      <c r="I10" s="313"/>
    </row>
    <row r="11" spans="1:9" x14ac:dyDescent="0.25">
      <c r="A11" s="313"/>
      <c r="B11" s="313"/>
      <c r="C11" s="313"/>
      <c r="D11" s="313"/>
      <c r="E11" s="313"/>
      <c r="F11" s="313"/>
      <c r="G11" s="313"/>
      <c r="H11" s="313"/>
      <c r="I11" s="313"/>
    </row>
    <row r="12" spans="1:9" x14ac:dyDescent="0.25">
      <c r="A12" s="313"/>
      <c r="B12" s="313"/>
      <c r="C12" s="313"/>
      <c r="D12" s="313"/>
      <c r="E12" s="313"/>
      <c r="F12" s="313"/>
      <c r="G12" s="313"/>
      <c r="H12" s="313"/>
      <c r="I12" s="313"/>
    </row>
    <row r="13" spans="1:9" x14ac:dyDescent="0.25">
      <c r="A13" s="313"/>
      <c r="B13" s="313"/>
      <c r="C13" s="313"/>
      <c r="D13" s="313"/>
      <c r="E13" s="313"/>
      <c r="F13" s="313"/>
      <c r="G13" s="313"/>
      <c r="H13" s="313"/>
      <c r="I13" s="313"/>
    </row>
    <row r="14" spans="1:9" x14ac:dyDescent="0.25">
      <c r="A14" s="313"/>
      <c r="B14" s="313"/>
      <c r="C14" s="313"/>
      <c r="D14" s="313"/>
      <c r="E14" s="313"/>
      <c r="F14" s="313"/>
      <c r="G14" s="313"/>
      <c r="H14" s="313"/>
      <c r="I14" s="313"/>
    </row>
    <row r="15" spans="1:9" ht="19.5" customHeight="1" x14ac:dyDescent="0.3">
      <c r="A15" s="119"/>
    </row>
    <row r="16" spans="1:9" ht="19.5" customHeight="1" x14ac:dyDescent="0.3">
      <c r="A16" s="346" t="s">
        <v>31</v>
      </c>
      <c r="B16" s="347"/>
      <c r="C16" s="347"/>
      <c r="D16" s="347"/>
      <c r="E16" s="347"/>
      <c r="F16" s="347"/>
      <c r="G16" s="347"/>
      <c r="H16" s="348"/>
    </row>
    <row r="17" spans="1:14" ht="20.25" customHeight="1" x14ac:dyDescent="0.25">
      <c r="A17" s="349" t="s">
        <v>51</v>
      </c>
      <c r="B17" s="349"/>
      <c r="C17" s="349"/>
      <c r="D17" s="349"/>
      <c r="E17" s="349"/>
      <c r="F17" s="349"/>
      <c r="G17" s="349"/>
      <c r="H17" s="349"/>
    </row>
    <row r="18" spans="1:14" ht="26.25" customHeight="1" x14ac:dyDescent="0.4">
      <c r="A18" s="121" t="s">
        <v>33</v>
      </c>
      <c r="B18" s="345" t="s">
        <v>5</v>
      </c>
      <c r="C18" s="345"/>
      <c r="D18" s="289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291">
        <v>1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50" t="s">
        <v>9</v>
      </c>
      <c r="C20" s="350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50" t="s">
        <v>11</v>
      </c>
      <c r="C21" s="350"/>
      <c r="D21" s="350"/>
      <c r="E21" s="350"/>
      <c r="F21" s="350"/>
      <c r="G21" s="350"/>
      <c r="H21" s="350"/>
      <c r="I21" s="125"/>
    </row>
    <row r="22" spans="1:14" ht="26.25" customHeight="1" x14ac:dyDescent="0.4">
      <c r="A22" s="121" t="s">
        <v>37</v>
      </c>
      <c r="B22" s="126" t="s">
        <v>12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 t="s">
        <v>128</v>
      </c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45" t="s">
        <v>129</v>
      </c>
      <c r="C26" s="345"/>
    </row>
    <row r="27" spans="1:14" ht="26.25" customHeight="1" x14ac:dyDescent="0.4">
      <c r="A27" s="130" t="s">
        <v>52</v>
      </c>
      <c r="B27" s="343" t="s">
        <v>130</v>
      </c>
      <c r="C27" s="343"/>
    </row>
    <row r="28" spans="1:14" ht="27" customHeight="1" x14ac:dyDescent="0.4">
      <c r="A28" s="130" t="s">
        <v>6</v>
      </c>
      <c r="B28" s="131">
        <v>98.3</v>
      </c>
    </row>
    <row r="29" spans="1:14" s="14" customFormat="1" ht="27" customHeight="1" x14ac:dyDescent="0.4">
      <c r="A29" s="130" t="s">
        <v>53</v>
      </c>
      <c r="B29" s="132"/>
      <c r="C29" s="320" t="s">
        <v>54</v>
      </c>
      <c r="D29" s="321"/>
      <c r="E29" s="321"/>
      <c r="F29" s="321"/>
      <c r="G29" s="322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98.3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1</v>
      </c>
      <c r="C31" s="323" t="s">
        <v>57</v>
      </c>
      <c r="D31" s="324"/>
      <c r="E31" s="324"/>
      <c r="F31" s="324"/>
      <c r="G31" s="324"/>
      <c r="H31" s="325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1</v>
      </c>
      <c r="C32" s="323" t="s">
        <v>59</v>
      </c>
      <c r="D32" s="324"/>
      <c r="E32" s="324"/>
      <c r="F32" s="324"/>
      <c r="G32" s="324"/>
      <c r="H32" s="325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1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10</v>
      </c>
      <c r="C36" s="120"/>
      <c r="D36" s="326" t="s">
        <v>63</v>
      </c>
      <c r="E36" s="344"/>
      <c r="F36" s="326" t="s">
        <v>64</v>
      </c>
      <c r="G36" s="327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1</v>
      </c>
      <c r="C38" s="152">
        <v>1</v>
      </c>
      <c r="D38" s="153">
        <v>112556474</v>
      </c>
      <c r="E38" s="154">
        <f>IF(ISBLANK(D38),"-",$D$48/$D$45*D38)</f>
        <v>111384265.98477623</v>
      </c>
      <c r="F38" s="153">
        <v>116900663</v>
      </c>
      <c r="G38" s="155">
        <f>IF(ISBLANK(F38),"-",$D$48/$F$45*F38)</f>
        <v>110728438.38740905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114855882</v>
      </c>
      <c r="E39" s="159">
        <f>IF(ISBLANK(D39),"-",$D$48/$D$45*D39)</f>
        <v>113659727.03270781</v>
      </c>
      <c r="F39" s="158">
        <v>118874480</v>
      </c>
      <c r="G39" s="160">
        <f>IF(ISBLANK(F39),"-",$D$48/$F$45*F39)</f>
        <v>112598040.05145197</v>
      </c>
      <c r="I39" s="328">
        <f>ABS((F43/D43*D42)-F42)/D42</f>
        <v>1.4242392285486528E-2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115462828</v>
      </c>
      <c r="E40" s="159">
        <f>IF(ISBLANK(D40),"-",$D$48/$D$45*D40)</f>
        <v>114260352.05497348</v>
      </c>
      <c r="F40" s="158">
        <v>117559342</v>
      </c>
      <c r="G40" s="160">
        <f>IF(ISBLANK(F40),"-",$D$48/$F$45*F40)</f>
        <v>111352339.87091543</v>
      </c>
      <c r="I40" s="328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114291728</v>
      </c>
      <c r="E42" s="169">
        <f>AVERAGE(E38:E41)</f>
        <v>113101448.35748585</v>
      </c>
      <c r="F42" s="168">
        <f>AVERAGE(F38:F41)</f>
        <v>117778161.66666667</v>
      </c>
      <c r="G42" s="170">
        <f>AVERAGE(G38:G41)</f>
        <v>111559606.1032588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10.28</v>
      </c>
      <c r="E43" s="161"/>
      <c r="F43" s="173">
        <v>10.74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10.28</v>
      </c>
      <c r="E44" s="176"/>
      <c r="F44" s="175">
        <f>F43*$B$34</f>
        <v>10.74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10</v>
      </c>
      <c r="C45" s="174" t="s">
        <v>81</v>
      </c>
      <c r="D45" s="178">
        <f>D44*$B$30/100</f>
        <v>10.105239999999998</v>
      </c>
      <c r="E45" s="179"/>
      <c r="F45" s="178">
        <f>F44*$B$30/100</f>
        <v>10.55742</v>
      </c>
      <c r="H45" s="171"/>
    </row>
    <row r="46" spans="1:14" ht="19.5" customHeight="1" x14ac:dyDescent="0.3">
      <c r="A46" s="314" t="s">
        <v>82</v>
      </c>
      <c r="B46" s="315"/>
      <c r="C46" s="174" t="s">
        <v>83</v>
      </c>
      <c r="D46" s="180">
        <f>D45/$B$45</f>
        <v>1.0105239999999998</v>
      </c>
      <c r="E46" s="181"/>
      <c r="F46" s="182">
        <f>F45/$B$45</f>
        <v>1.055742</v>
      </c>
      <c r="H46" s="171"/>
    </row>
    <row r="47" spans="1:14" ht="27" customHeight="1" x14ac:dyDescent="0.4">
      <c r="A47" s="316"/>
      <c r="B47" s="317"/>
      <c r="C47" s="183" t="s">
        <v>84</v>
      </c>
      <c r="D47" s="184">
        <v>1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10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10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112330527.23037232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1.257810723673969E-2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Amoxicillin trihydrate B.P 250 mg</v>
      </c>
    </row>
    <row r="56" spans="1:12" ht="26.25" customHeight="1" x14ac:dyDescent="0.4">
      <c r="A56" s="198" t="s">
        <v>91</v>
      </c>
      <c r="B56" s="199">
        <v>250</v>
      </c>
      <c r="C56" s="120" t="str">
        <f>B20</f>
        <v>Amoxicillin Trihydrate BP</v>
      </c>
      <c r="H56" s="200"/>
    </row>
    <row r="57" spans="1:12" ht="18.75" x14ac:dyDescent="0.3">
      <c r="A57" s="197" t="s">
        <v>92</v>
      </c>
      <c r="B57" s="290">
        <f>Uniformity!B47</f>
        <v>292.18650000000002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50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1</v>
      </c>
      <c r="C60" s="331" t="s">
        <v>98</v>
      </c>
      <c r="D60" s="334">
        <v>61.27</v>
      </c>
      <c r="E60" s="203">
        <v>1</v>
      </c>
      <c r="F60" s="204">
        <v>124830561</v>
      </c>
      <c r="G60" s="292">
        <f>IF(ISBLANK(F60),"-",(F60/$D$50*$D$47*$B$68)*($B$57/$D$60))</f>
        <v>264.97530162974232</v>
      </c>
      <c r="H60" s="205">
        <f>IF(ISBLANK(F60),"-",G60/$B$56)</f>
        <v>1.0599012065189692</v>
      </c>
      <c r="L60" s="133"/>
    </row>
    <row r="61" spans="1:12" s="14" customFormat="1" ht="26.25" customHeight="1" x14ac:dyDescent="0.4">
      <c r="A61" s="145" t="s">
        <v>99</v>
      </c>
      <c r="B61" s="146">
        <v>1</v>
      </c>
      <c r="C61" s="332"/>
      <c r="D61" s="335"/>
      <c r="E61" s="206">
        <v>2</v>
      </c>
      <c r="F61" s="158">
        <v>125304517</v>
      </c>
      <c r="G61" s="293">
        <f>IF(ISBLANK(F61),"-",(F61/$D$50*$D$47*$B$68)*($B$57/$D$60))</f>
        <v>265.98135842427376</v>
      </c>
      <c r="H61" s="207">
        <f>IF(ISBLANK(F61),"-",G61/$B$56)</f>
        <v>1.0639254336970951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332"/>
      <c r="D62" s="335"/>
      <c r="E62" s="206">
        <v>3</v>
      </c>
      <c r="F62" s="208">
        <v>126250682</v>
      </c>
      <c r="G62" s="293">
        <f>IF(ISBLANK(F62),"-",(F62/$D$50*$D$47*$B$68)*($B$57/$D$60))</f>
        <v>267.98976369184686</v>
      </c>
      <c r="H62" s="207">
        <f t="shared" ref="H62:H71" si="0">IF(ISBLANK(F62),"-",G62/$B$56)</f>
        <v>1.0719590547673874</v>
      </c>
      <c r="L62" s="133"/>
    </row>
    <row r="63" spans="1:12" ht="27" customHeight="1" x14ac:dyDescent="0.4">
      <c r="A63" s="145" t="s">
        <v>101</v>
      </c>
      <c r="B63" s="146">
        <v>1</v>
      </c>
      <c r="C63" s="342"/>
      <c r="D63" s="336"/>
      <c r="E63" s="209">
        <v>4</v>
      </c>
      <c r="F63" s="210"/>
      <c r="G63" s="293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31" t="s">
        <v>103</v>
      </c>
      <c r="D64" s="334">
        <v>66.13</v>
      </c>
      <c r="E64" s="203">
        <v>1</v>
      </c>
      <c r="F64" s="204">
        <v>138045751</v>
      </c>
      <c r="G64" s="294">
        <f>IF(ISBLANK(F64),"-",(F64/$D$50*$D$47*$B$68)*($B$57/$D$64))</f>
        <v>271.49189838624318</v>
      </c>
      <c r="H64" s="211">
        <f>IF(ISBLANK(F64),"-",G64/$B$56)</f>
        <v>1.0859675935449726</v>
      </c>
    </row>
    <row r="65" spans="1:8" ht="26.25" customHeight="1" x14ac:dyDescent="0.4">
      <c r="A65" s="145" t="s">
        <v>104</v>
      </c>
      <c r="B65" s="146">
        <v>1</v>
      </c>
      <c r="C65" s="332"/>
      <c r="D65" s="335"/>
      <c r="E65" s="206">
        <v>2</v>
      </c>
      <c r="F65" s="158">
        <v>138119581</v>
      </c>
      <c r="G65" s="295">
        <f>IF(ISBLANK(F65),"-",(F65/$D$50*$D$47*$B$68)*($B$57/$D$64))</f>
        <v>271.63709841386196</v>
      </c>
      <c r="H65" s="212">
        <f>IF(ISBLANK(F65),"-",G65/$B$56)</f>
        <v>1.0865483936554479</v>
      </c>
    </row>
    <row r="66" spans="1:8" ht="26.25" customHeight="1" x14ac:dyDescent="0.4">
      <c r="A66" s="145" t="s">
        <v>105</v>
      </c>
      <c r="B66" s="146">
        <v>1</v>
      </c>
      <c r="C66" s="332"/>
      <c r="D66" s="335"/>
      <c r="E66" s="206">
        <v>3</v>
      </c>
      <c r="F66" s="158">
        <v>139031385</v>
      </c>
      <c r="G66" s="295">
        <f>IF(ISBLANK(F66),"-",(F66/$D$50*$D$47*$B$68)*($B$57/$D$64))</f>
        <v>273.43032563833606</v>
      </c>
      <c r="H66" s="212">
        <f t="shared" si="0"/>
        <v>1.0937213025533443</v>
      </c>
    </row>
    <row r="67" spans="1:8" ht="27" customHeight="1" x14ac:dyDescent="0.4">
      <c r="A67" s="145" t="s">
        <v>106</v>
      </c>
      <c r="B67" s="146">
        <v>1</v>
      </c>
      <c r="C67" s="342"/>
      <c r="D67" s="336"/>
      <c r="E67" s="209">
        <v>4</v>
      </c>
      <c r="F67" s="210"/>
      <c r="G67" s="296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107</v>
      </c>
      <c r="B68" s="214">
        <f>(B67/B66)*(B65/B64)*(B63/B62)*(B61/B60)*B59</f>
        <v>50</v>
      </c>
      <c r="C68" s="331" t="s">
        <v>108</v>
      </c>
      <c r="D68" s="334">
        <v>70.47</v>
      </c>
      <c r="E68" s="203">
        <v>1</v>
      </c>
      <c r="F68" s="204">
        <v>146217568</v>
      </c>
      <c r="G68" s="294">
        <f>IF(ISBLANK(F68),"-",(F68/$D$50*$D$47*$B$68)*($B$57/$D$68))</f>
        <v>269.85324066696057</v>
      </c>
      <c r="H68" s="207">
        <f>IF(ISBLANK(F68),"-",G68/$B$56)</f>
        <v>1.0794129626678424</v>
      </c>
    </row>
    <row r="69" spans="1:8" ht="27" customHeight="1" x14ac:dyDescent="0.4">
      <c r="A69" s="193" t="s">
        <v>109</v>
      </c>
      <c r="B69" s="215">
        <f>(D47*B68)/B56*B57</f>
        <v>58.437300000000008</v>
      </c>
      <c r="C69" s="332"/>
      <c r="D69" s="335"/>
      <c r="E69" s="206">
        <v>2</v>
      </c>
      <c r="F69" s="158">
        <v>146262148</v>
      </c>
      <c r="G69" s="295">
        <f>IF(ISBLANK(F69),"-",(F69/$D$50*$D$47*$B$68)*($B$57/$D$68))</f>
        <v>269.93551571525666</v>
      </c>
      <c r="H69" s="207">
        <f t="shared" si="0"/>
        <v>1.0797420628610266</v>
      </c>
    </row>
    <row r="70" spans="1:8" ht="26.25" customHeight="1" x14ac:dyDescent="0.4">
      <c r="A70" s="337" t="s">
        <v>82</v>
      </c>
      <c r="B70" s="338"/>
      <c r="C70" s="332"/>
      <c r="D70" s="335"/>
      <c r="E70" s="206">
        <v>3</v>
      </c>
      <c r="F70" s="158">
        <v>146420024</v>
      </c>
      <c r="G70" s="295">
        <f>IF(ISBLANK(F70),"-",(F70/$D$50*$D$47*$B$68)*($B$57/$D$68))</f>
        <v>270.22688528736944</v>
      </c>
      <c r="H70" s="207">
        <f>IF(ISBLANK(F70),"-",G70/$B$56)</f>
        <v>1.0809075411494777</v>
      </c>
    </row>
    <row r="71" spans="1:8" ht="27" customHeight="1" x14ac:dyDescent="0.4">
      <c r="A71" s="339"/>
      <c r="B71" s="340"/>
      <c r="C71" s="333"/>
      <c r="D71" s="336"/>
      <c r="E71" s="209">
        <v>4</v>
      </c>
      <c r="F71" s="210"/>
      <c r="G71" s="296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8"/>
      <c r="G72" s="219" t="s">
        <v>75</v>
      </c>
      <c r="H72" s="220">
        <f>AVERAGE(H60:H71)</f>
        <v>1.0780095057128403</v>
      </c>
    </row>
    <row r="73" spans="1:8" ht="26.25" customHeight="1" x14ac:dyDescent="0.4">
      <c r="C73" s="217"/>
      <c r="D73" s="217"/>
      <c r="E73" s="217"/>
      <c r="F73" s="218"/>
      <c r="G73" s="221" t="s">
        <v>88</v>
      </c>
      <c r="H73" s="297">
        <f>STDEV(H60:H71)/H72</f>
        <v>1.0158318946494075E-2</v>
      </c>
    </row>
    <row r="74" spans="1:8" ht="27" customHeight="1" x14ac:dyDescent="0.4">
      <c r="A74" s="217"/>
      <c r="B74" s="217"/>
      <c r="C74" s="218"/>
      <c r="D74" s="218"/>
      <c r="E74" s="222"/>
      <c r="F74" s="218"/>
      <c r="G74" s="223" t="s">
        <v>20</v>
      </c>
      <c r="H74" s="224">
        <f>COUNT(H60:H71)</f>
        <v>9</v>
      </c>
    </row>
    <row r="76" spans="1:8" ht="26.25" customHeight="1" x14ac:dyDescent="0.4">
      <c r="A76" s="129" t="s">
        <v>110</v>
      </c>
      <c r="B76" s="225" t="s">
        <v>111</v>
      </c>
      <c r="C76" s="318" t="str">
        <f>B20</f>
        <v>Amoxicillin Trihydrate BP</v>
      </c>
      <c r="D76" s="318"/>
      <c r="E76" s="226" t="s">
        <v>112</v>
      </c>
      <c r="F76" s="226"/>
      <c r="G76" s="227">
        <f>H72</f>
        <v>1.0780095057128403</v>
      </c>
      <c r="H76" s="228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41" t="str">
        <f>B26</f>
        <v>Amoxicillin</v>
      </c>
      <c r="C79" s="341"/>
    </row>
    <row r="80" spans="1:8" ht="26.25" customHeight="1" x14ac:dyDescent="0.4">
      <c r="A80" s="130" t="s">
        <v>52</v>
      </c>
      <c r="B80" s="341" t="str">
        <f>B27</f>
        <v>A18-015</v>
      </c>
      <c r="C80" s="341"/>
    </row>
    <row r="81" spans="1:12" ht="27" customHeight="1" x14ac:dyDescent="0.4">
      <c r="A81" s="130" t="s">
        <v>6</v>
      </c>
      <c r="B81" s="229">
        <f>B28</f>
        <v>98.3</v>
      </c>
    </row>
    <row r="82" spans="1:12" s="14" customFormat="1" ht="27" customHeight="1" x14ac:dyDescent="0.4">
      <c r="A82" s="130" t="s">
        <v>53</v>
      </c>
      <c r="B82" s="132">
        <v>0</v>
      </c>
      <c r="C82" s="320" t="s">
        <v>54</v>
      </c>
      <c r="D82" s="321"/>
      <c r="E82" s="321"/>
      <c r="F82" s="321"/>
      <c r="G82" s="322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98.3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1</v>
      </c>
      <c r="C84" s="323" t="s">
        <v>115</v>
      </c>
      <c r="D84" s="324"/>
      <c r="E84" s="324"/>
      <c r="F84" s="324"/>
      <c r="G84" s="324"/>
      <c r="H84" s="325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1</v>
      </c>
      <c r="C85" s="323" t="s">
        <v>116</v>
      </c>
      <c r="D85" s="324"/>
      <c r="E85" s="324"/>
      <c r="F85" s="324"/>
      <c r="G85" s="324"/>
      <c r="H85" s="325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1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25</v>
      </c>
      <c r="D89" s="230" t="s">
        <v>63</v>
      </c>
      <c r="E89" s="231"/>
      <c r="F89" s="326" t="s">
        <v>64</v>
      </c>
      <c r="G89" s="327"/>
    </row>
    <row r="90" spans="1:12" ht="27" customHeight="1" x14ac:dyDescent="0.4">
      <c r="A90" s="145" t="s">
        <v>65</v>
      </c>
      <c r="B90" s="146">
        <v>5</v>
      </c>
      <c r="C90" s="232" t="s">
        <v>66</v>
      </c>
      <c r="D90" s="148" t="s">
        <v>67</v>
      </c>
      <c r="E90" s="149" t="s">
        <v>68</v>
      </c>
      <c r="F90" s="148" t="s">
        <v>67</v>
      </c>
      <c r="G90" s="233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50</v>
      </c>
      <c r="C91" s="234">
        <v>1</v>
      </c>
      <c r="D91" s="153">
        <v>0.47299999999999998</v>
      </c>
      <c r="E91" s="154">
        <f>IF(ISBLANK(D91),"-",$D$101/$D$98*D91)</f>
        <v>0.4803346720148936</v>
      </c>
      <c r="F91" s="153">
        <v>0.497</v>
      </c>
      <c r="G91" s="155">
        <f>IF(ISBLANK(F91),"-",$D$101/$F$98*F91)</f>
        <v>0.50277955150040765</v>
      </c>
      <c r="I91" s="156"/>
    </row>
    <row r="92" spans="1:12" ht="26.25" customHeight="1" x14ac:dyDescent="0.4">
      <c r="A92" s="145" t="s">
        <v>71</v>
      </c>
      <c r="B92" s="146">
        <v>1</v>
      </c>
      <c r="C92" s="218">
        <v>2</v>
      </c>
      <c r="D92" s="158">
        <v>0.49299999999999999</v>
      </c>
      <c r="E92" s="159">
        <f>IF(ISBLANK(D92),"-",$D$101/$D$98*D92)</f>
        <v>0.50064480613814488</v>
      </c>
      <c r="F92" s="158">
        <v>0.495</v>
      </c>
      <c r="G92" s="160">
        <f>IF(ISBLANK(F92),"-",$D$101/$F$98*F92)</f>
        <v>0.50075629374789088</v>
      </c>
      <c r="I92" s="328">
        <f>ABS((F96/D96*D95)-F95)/D95</f>
        <v>1.5344828717895005E-2</v>
      </c>
    </row>
    <row r="93" spans="1:12" ht="26.25" customHeight="1" x14ac:dyDescent="0.4">
      <c r="A93" s="145" t="s">
        <v>72</v>
      </c>
      <c r="B93" s="146">
        <v>1</v>
      </c>
      <c r="C93" s="218">
        <v>3</v>
      </c>
      <c r="D93" s="158">
        <v>0.49399999999999999</v>
      </c>
      <c r="E93" s="159">
        <f>IF(ISBLANK(D93),"-",$D$101/$D$98*D93)</f>
        <v>0.50166031284430745</v>
      </c>
      <c r="F93" s="158">
        <v>0.496</v>
      </c>
      <c r="G93" s="160">
        <f>IF(ISBLANK(F93),"-",$D$101/$F$98*F93)</f>
        <v>0.50176792262414927</v>
      </c>
      <c r="I93" s="328"/>
    </row>
    <row r="94" spans="1:12" ht="27" customHeight="1" x14ac:dyDescent="0.4">
      <c r="A94" s="145" t="s">
        <v>73</v>
      </c>
      <c r="B94" s="146">
        <v>1</v>
      </c>
      <c r="C94" s="235">
        <v>4</v>
      </c>
      <c r="D94" s="163"/>
      <c r="E94" s="164" t="str">
        <f>IF(ISBLANK(D94),"-",$D$101/$D$98*D94)</f>
        <v>-</v>
      </c>
      <c r="F94" s="236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7" t="s">
        <v>75</v>
      </c>
      <c r="D95" s="238">
        <f>AVERAGE(D91:D94)</f>
        <v>0.48666666666666664</v>
      </c>
      <c r="E95" s="169">
        <f>AVERAGE(E91:E94)</f>
        <v>0.49421326366578205</v>
      </c>
      <c r="F95" s="239">
        <f>AVERAGE(F91:F94)</f>
        <v>0.496</v>
      </c>
      <c r="G95" s="240">
        <f>AVERAGE(G91:G94)</f>
        <v>0.50176792262414927</v>
      </c>
    </row>
    <row r="96" spans="1:12" ht="26.25" customHeight="1" x14ac:dyDescent="0.4">
      <c r="A96" s="145" t="s">
        <v>76</v>
      </c>
      <c r="B96" s="131">
        <v>1</v>
      </c>
      <c r="C96" s="241" t="s">
        <v>117</v>
      </c>
      <c r="D96" s="242">
        <v>20.87</v>
      </c>
      <c r="E96" s="161"/>
      <c r="F96" s="173">
        <v>20.95</v>
      </c>
    </row>
    <row r="97" spans="1:10" ht="26.25" customHeight="1" x14ac:dyDescent="0.4">
      <c r="A97" s="145" t="s">
        <v>78</v>
      </c>
      <c r="B97" s="131">
        <v>1</v>
      </c>
      <c r="C97" s="243" t="s">
        <v>118</v>
      </c>
      <c r="D97" s="244">
        <f>D96*$B$87</f>
        <v>20.87</v>
      </c>
      <c r="E97" s="176"/>
      <c r="F97" s="175">
        <f>F96*$B$87</f>
        <v>20.95</v>
      </c>
    </row>
    <row r="98" spans="1:10" ht="19.5" customHeight="1" x14ac:dyDescent="0.3">
      <c r="A98" s="145" t="s">
        <v>80</v>
      </c>
      <c r="B98" s="245">
        <f>(B97/B96)*(B95/B94)*(B93/B92)*(B91/B90)*B89</f>
        <v>250</v>
      </c>
      <c r="C98" s="243" t="s">
        <v>119</v>
      </c>
      <c r="D98" s="246">
        <f>D97*$B$83/100</f>
        <v>20.515210000000003</v>
      </c>
      <c r="E98" s="179"/>
      <c r="F98" s="178">
        <f>F97*$B$83/100</f>
        <v>20.593849999999996</v>
      </c>
    </row>
    <row r="99" spans="1:10" ht="19.5" customHeight="1" x14ac:dyDescent="0.3">
      <c r="A99" s="314" t="s">
        <v>82</v>
      </c>
      <c r="B99" s="329"/>
      <c r="C99" s="243" t="s">
        <v>120</v>
      </c>
      <c r="D99" s="247">
        <f>D98/$B$98</f>
        <v>8.206084000000001E-2</v>
      </c>
      <c r="E99" s="179"/>
      <c r="F99" s="182">
        <f>F98/$B$98</f>
        <v>8.2375399999999988E-2</v>
      </c>
      <c r="G99" s="248"/>
      <c r="H99" s="171"/>
    </row>
    <row r="100" spans="1:10" ht="19.5" customHeight="1" x14ac:dyDescent="0.3">
      <c r="A100" s="316"/>
      <c r="B100" s="330"/>
      <c r="C100" s="243" t="s">
        <v>84</v>
      </c>
      <c r="D100" s="249">
        <f>$B$56/$B$116</f>
        <v>8.3333333333333329E-2</v>
      </c>
      <c r="F100" s="187"/>
      <c r="G100" s="250"/>
      <c r="H100" s="171"/>
    </row>
    <row r="101" spans="1:10" ht="18.75" x14ac:dyDescent="0.3">
      <c r="C101" s="243" t="s">
        <v>85</v>
      </c>
      <c r="D101" s="244">
        <f>D100*$B$98</f>
        <v>20.833333333333332</v>
      </c>
      <c r="F101" s="187"/>
      <c r="G101" s="248"/>
      <c r="H101" s="171"/>
    </row>
    <row r="102" spans="1:10" ht="19.5" customHeight="1" x14ac:dyDescent="0.3">
      <c r="C102" s="251" t="s">
        <v>86</v>
      </c>
      <c r="D102" s="252">
        <f>D101/B34</f>
        <v>20.833333333333332</v>
      </c>
      <c r="F102" s="191"/>
      <c r="G102" s="248"/>
      <c r="H102" s="171"/>
      <c r="J102" s="253"/>
    </row>
    <row r="103" spans="1:10" ht="18.75" x14ac:dyDescent="0.3">
      <c r="C103" s="254" t="s">
        <v>121</v>
      </c>
      <c r="D103" s="255">
        <f>AVERAGE(E91:E94,G91:G94)</f>
        <v>0.49799059314496569</v>
      </c>
      <c r="F103" s="191"/>
      <c r="G103" s="256"/>
      <c r="H103" s="171"/>
      <c r="J103" s="257"/>
    </row>
    <row r="104" spans="1:10" ht="18.75" x14ac:dyDescent="0.3">
      <c r="C104" s="221" t="s">
        <v>88</v>
      </c>
      <c r="D104" s="258">
        <f>STDEV(E91:E94,G91:G94)/D103</f>
        <v>1.7438898963878451E-2</v>
      </c>
      <c r="F104" s="191"/>
      <c r="G104" s="248"/>
      <c r="H104" s="171"/>
      <c r="J104" s="257"/>
    </row>
    <row r="105" spans="1:10" ht="19.5" customHeight="1" x14ac:dyDescent="0.3">
      <c r="C105" s="223" t="s">
        <v>20</v>
      </c>
      <c r="D105" s="259">
        <f>COUNT(E91:E94,G91:G94)</f>
        <v>6</v>
      </c>
      <c r="F105" s="191"/>
      <c r="G105" s="248"/>
      <c r="H105" s="171"/>
      <c r="J105" s="257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122</v>
      </c>
      <c r="B107" s="144">
        <v>900</v>
      </c>
      <c r="C107" s="260" t="s">
        <v>41</v>
      </c>
      <c r="D107" s="261" t="s">
        <v>67</v>
      </c>
      <c r="E107" s="262" t="s">
        <v>123</v>
      </c>
      <c r="F107" s="263" t="s">
        <v>124</v>
      </c>
    </row>
    <row r="108" spans="1:10" ht="26.25" customHeight="1" x14ac:dyDescent="0.4">
      <c r="A108" s="145" t="s">
        <v>125</v>
      </c>
      <c r="B108" s="146">
        <v>3</v>
      </c>
      <c r="C108" s="264">
        <v>1</v>
      </c>
      <c r="D108" s="301">
        <v>0.497</v>
      </c>
      <c r="E108" s="298">
        <f>IF(ISBLANK(D108),"-",D108/$D$103*$D$100*$B$116)</f>
        <v>249.5027048911156</v>
      </c>
      <c r="F108" s="265">
        <f>IF(ISBLANK(D108), "-", E108/$B$56)</f>
        <v>0.99801081956446236</v>
      </c>
    </row>
    <row r="109" spans="1:10" ht="26.25" customHeight="1" x14ac:dyDescent="0.4">
      <c r="A109" s="145" t="s">
        <v>99</v>
      </c>
      <c r="B109" s="146">
        <v>10</v>
      </c>
      <c r="C109" s="264">
        <v>2</v>
      </c>
      <c r="D109" s="301">
        <v>0.49299999999999999</v>
      </c>
      <c r="E109" s="299">
        <f t="shared" ref="E109:E113" si="1">IF(ISBLANK(D109),"-",D109/$D$103*$D$100*$B$116)</f>
        <v>247.49463483162978</v>
      </c>
      <c r="F109" s="266">
        <f>IF(ISBLANK(D109), "-", E109/$B$56)</f>
        <v>0.98997853932651914</v>
      </c>
    </row>
    <row r="110" spans="1:10" ht="26.25" customHeight="1" x14ac:dyDescent="0.4">
      <c r="A110" s="145" t="s">
        <v>100</v>
      </c>
      <c r="B110" s="146">
        <v>1</v>
      </c>
      <c r="C110" s="264">
        <v>3</v>
      </c>
      <c r="D110" s="301">
        <v>0.48699999999999999</v>
      </c>
      <c r="E110" s="299">
        <f t="shared" si="1"/>
        <v>244.48252974240097</v>
      </c>
      <c r="F110" s="266">
        <f>IF(ISBLANK(D110), ".-", E110/$B$56)</f>
        <v>0.97793011896960391</v>
      </c>
    </row>
    <row r="111" spans="1:10" ht="26.25" customHeight="1" x14ac:dyDescent="0.4">
      <c r="A111" s="145" t="s">
        <v>101</v>
      </c>
      <c r="B111" s="146">
        <v>1</v>
      </c>
      <c r="C111" s="264">
        <v>4</v>
      </c>
      <c r="D111" s="301">
        <v>0.48799999999999999</v>
      </c>
      <c r="E111" s="299">
        <f t="shared" si="1"/>
        <v>244.98454725727245</v>
      </c>
      <c r="F111" s="266">
        <f>IF(ISBLANK(D111), "-", E111/$B$56)</f>
        <v>0.9799381890290898</v>
      </c>
    </row>
    <row r="112" spans="1:10" ht="26.25" customHeight="1" x14ac:dyDescent="0.4">
      <c r="A112" s="145" t="s">
        <v>102</v>
      </c>
      <c r="B112" s="146">
        <v>1</v>
      </c>
      <c r="C112" s="264">
        <v>5</v>
      </c>
      <c r="D112" s="301">
        <v>0.49099999999999999</v>
      </c>
      <c r="E112" s="299">
        <f>IF(ISBLANK(D112),"-",D112/$D$103*$D$100*$B$116)</f>
        <v>246.49059980188684</v>
      </c>
      <c r="F112" s="266">
        <f>IF(ISBLANK(D112), "-", E112/$B$56)</f>
        <v>0.98596239920754736</v>
      </c>
    </row>
    <row r="113" spans="1:10" ht="26.25" customHeight="1" x14ac:dyDescent="0.4">
      <c r="A113" s="145" t="s">
        <v>104</v>
      </c>
      <c r="B113" s="146">
        <v>1</v>
      </c>
      <c r="C113" s="267">
        <v>6</v>
      </c>
      <c r="D113" s="302">
        <v>0.48899999999999999</v>
      </c>
      <c r="E113" s="300">
        <f t="shared" si="1"/>
        <v>245.48656477214396</v>
      </c>
      <c r="F113" s="268">
        <f>IF(ISBLANK(D113), "-", E113/$B$56)</f>
        <v>0.98194625908857591</v>
      </c>
    </row>
    <row r="114" spans="1:10" ht="26.25" customHeight="1" x14ac:dyDescent="0.4">
      <c r="A114" s="145" t="s">
        <v>105</v>
      </c>
      <c r="B114" s="146">
        <v>1</v>
      </c>
      <c r="C114" s="264"/>
      <c r="D114" s="218"/>
      <c r="E114" s="119"/>
      <c r="F114" s="269"/>
    </row>
    <row r="115" spans="1:10" ht="26.25" customHeight="1" x14ac:dyDescent="0.4">
      <c r="A115" s="145" t="s">
        <v>106</v>
      </c>
      <c r="B115" s="146">
        <v>1</v>
      </c>
      <c r="C115" s="264"/>
      <c r="D115" s="270"/>
      <c r="E115" s="271" t="s">
        <v>75</v>
      </c>
      <c r="F115" s="272">
        <f>AVERAGE(F108:F113)</f>
        <v>0.98562772086429984</v>
      </c>
    </row>
    <row r="116" spans="1:10" ht="27" customHeight="1" x14ac:dyDescent="0.4">
      <c r="A116" s="145" t="s">
        <v>107</v>
      </c>
      <c r="B116" s="177">
        <f>(B115/B114)*(B113/B112)*(B111/B110)*(B109/B108)*B107</f>
        <v>3000</v>
      </c>
      <c r="C116" s="273"/>
      <c r="D116" s="274"/>
      <c r="E116" s="237" t="s">
        <v>88</v>
      </c>
      <c r="F116" s="275">
        <f>STDEV(F108:F113)/F115</f>
        <v>7.5592785653483879E-3</v>
      </c>
      <c r="I116" s="119"/>
    </row>
    <row r="117" spans="1:10" ht="27" customHeight="1" x14ac:dyDescent="0.4">
      <c r="A117" s="314" t="s">
        <v>82</v>
      </c>
      <c r="B117" s="315"/>
      <c r="C117" s="276"/>
      <c r="D117" s="277"/>
      <c r="E117" s="278" t="s">
        <v>20</v>
      </c>
      <c r="F117" s="279">
        <f>COUNT(F108:F113)</f>
        <v>6</v>
      </c>
      <c r="I117" s="119"/>
      <c r="J117" s="257"/>
    </row>
    <row r="118" spans="1:10" ht="19.5" customHeight="1" x14ac:dyDescent="0.3">
      <c r="A118" s="316"/>
      <c r="B118" s="317"/>
      <c r="C118" s="119"/>
      <c r="D118" s="119"/>
      <c r="E118" s="119"/>
      <c r="F118" s="218"/>
      <c r="G118" s="119"/>
      <c r="H118" s="119"/>
      <c r="I118" s="119"/>
    </row>
    <row r="119" spans="1:10" ht="18.75" x14ac:dyDescent="0.3">
      <c r="A119" s="288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">
      <c r="A120" s="129" t="s">
        <v>110</v>
      </c>
      <c r="B120" s="225" t="s">
        <v>126</v>
      </c>
      <c r="C120" s="318" t="str">
        <f>B20</f>
        <v>Amoxicillin Trihydrate BP</v>
      </c>
      <c r="D120" s="318"/>
      <c r="E120" s="226" t="s">
        <v>127</v>
      </c>
      <c r="F120" s="226"/>
      <c r="G120" s="227">
        <f>F115</f>
        <v>0.98562772086429984</v>
      </c>
      <c r="H120" s="119"/>
      <c r="I120" s="119"/>
    </row>
    <row r="121" spans="1:10" ht="19.5" customHeight="1" x14ac:dyDescent="0.3">
      <c r="A121" s="280"/>
      <c r="B121" s="280"/>
      <c r="C121" s="281"/>
      <c r="D121" s="281"/>
      <c r="E121" s="281"/>
      <c r="F121" s="281"/>
      <c r="G121" s="281"/>
      <c r="H121" s="281"/>
    </row>
    <row r="122" spans="1:10" ht="18.75" x14ac:dyDescent="0.3">
      <c r="B122" s="319" t="s">
        <v>26</v>
      </c>
      <c r="C122" s="319"/>
      <c r="E122" s="232" t="s">
        <v>27</v>
      </c>
      <c r="F122" s="282"/>
      <c r="G122" s="319" t="s">
        <v>28</v>
      </c>
      <c r="H122" s="319"/>
    </row>
    <row r="123" spans="1:10" ht="69.95" customHeight="1" x14ac:dyDescent="0.3">
      <c r="A123" s="283" t="s">
        <v>29</v>
      </c>
      <c r="B123" s="284"/>
      <c r="C123" s="284"/>
      <c r="E123" s="284"/>
      <c r="F123" s="119"/>
      <c r="G123" s="285"/>
      <c r="H123" s="285"/>
    </row>
    <row r="124" spans="1:10" ht="69.95" customHeight="1" x14ac:dyDescent="0.3">
      <c r="A124" s="283" t="s">
        <v>30</v>
      </c>
      <c r="B124" s="286"/>
      <c r="C124" s="286"/>
      <c r="E124" s="286"/>
      <c r="F124" s="119"/>
      <c r="G124" s="287"/>
      <c r="H124" s="287"/>
    </row>
    <row r="125" spans="1:10" ht="18.75" x14ac:dyDescent="0.3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.75" x14ac:dyDescent="0.3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.75" x14ac:dyDescent="0.3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.75" x14ac:dyDescent="0.3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.75" x14ac:dyDescent="0.3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.75" x14ac:dyDescent="0.3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.75" x14ac:dyDescent="0.3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.75" x14ac:dyDescent="0.3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.75" x14ac:dyDescent="0.3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Amoxicillin</vt:lpstr>
      <vt:lpstr>Amoxicillin!Print_Area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Jane Matundura</cp:lastModifiedBy>
  <cp:lastPrinted>2015-07-01T11:46:13Z</cp:lastPrinted>
  <dcterms:created xsi:type="dcterms:W3CDTF">2005-07-05T10:19:27Z</dcterms:created>
  <dcterms:modified xsi:type="dcterms:W3CDTF">2015-07-02T09:07:55Z</dcterms:modified>
</cp:coreProperties>
</file>