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Uniformity 1" sheetId="2" r:id="rId2"/>
    <sheet name="Uniformity" sheetId="3" r:id="rId3"/>
    <sheet name="imipenem" sheetId="4" r:id="rId4"/>
    <sheet name="cilastatin" sheetId="5" r:id="rId5"/>
    <sheet name="imipenem 1" sheetId="6" r:id="rId6"/>
    <sheet name="cilastatin 1" sheetId="7" r:id="rId7"/>
    <sheet name="imipenem 2" sheetId="8" r:id="rId8"/>
    <sheet name="cilastatin 2" sheetId="9" r:id="rId9"/>
  </sheets>
  <calcPr calcId="145621"/>
</workbook>
</file>

<file path=xl/calcChain.xml><?xml version="1.0" encoding="utf-8"?>
<calcChain xmlns="http://schemas.openxmlformats.org/spreadsheetml/2006/main">
  <c r="C72" i="9" l="1"/>
  <c r="C70" i="9"/>
  <c r="D66" i="9" s="1"/>
  <c r="D67" i="9"/>
  <c r="D65" i="9"/>
  <c r="D63" i="9"/>
  <c r="D61" i="9"/>
  <c r="D59" i="9"/>
  <c r="B57" i="9"/>
  <c r="D56" i="9"/>
  <c r="D55" i="9"/>
  <c r="D54" i="9"/>
  <c r="D53" i="9"/>
  <c r="D51" i="9"/>
  <c r="D50" i="9"/>
  <c r="C43" i="9"/>
  <c r="C41" i="9"/>
  <c r="C42" i="9" s="1"/>
  <c r="D39" i="9"/>
  <c r="D37" i="9"/>
  <c r="D36" i="9"/>
  <c r="D35" i="9"/>
  <c r="D34" i="9"/>
  <c r="D32" i="9"/>
  <c r="D31" i="9"/>
  <c r="C27" i="9"/>
  <c r="B26" i="9"/>
  <c r="C72" i="8"/>
  <c r="C71" i="8"/>
  <c r="C70" i="8"/>
  <c r="D68" i="8"/>
  <c r="D67" i="8"/>
  <c r="D66" i="8"/>
  <c r="D65" i="8"/>
  <c r="D64" i="8"/>
  <c r="D63" i="8"/>
  <c r="D62" i="8"/>
  <c r="D61" i="8"/>
  <c r="D60" i="8"/>
  <c r="D59" i="8"/>
  <c r="D58" i="8"/>
  <c r="D57" i="8"/>
  <c r="B57" i="8"/>
  <c r="D56" i="8"/>
  <c r="D55" i="8"/>
  <c r="D54" i="8"/>
  <c r="D53" i="8"/>
  <c r="D52" i="8"/>
  <c r="D51" i="8"/>
  <c r="D50" i="8"/>
  <c r="D49" i="8"/>
  <c r="G51" i="8" s="1"/>
  <c r="C43" i="8"/>
  <c r="C42" i="8"/>
  <c r="C41" i="8"/>
  <c r="D37" i="8" s="1"/>
  <c r="D39" i="8"/>
  <c r="D38" i="8"/>
  <c r="D36" i="8"/>
  <c r="D34" i="8"/>
  <c r="D33" i="8"/>
  <c r="D32" i="8"/>
  <c r="D31" i="8"/>
  <c r="D30" i="8"/>
  <c r="C27" i="8"/>
  <c r="B26" i="8"/>
  <c r="C76" i="7"/>
  <c r="H71" i="7"/>
  <c r="G71" i="7"/>
  <c r="H70" i="7"/>
  <c r="G70" i="7"/>
  <c r="H69" i="7"/>
  <c r="G69" i="7"/>
  <c r="B69" i="7"/>
  <c r="H68" i="7"/>
  <c r="G68" i="7"/>
  <c r="B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H74" i="7" s="1"/>
  <c r="G60" i="7"/>
  <c r="C56" i="7"/>
  <c r="B55" i="7"/>
  <c r="D48" i="7"/>
  <c r="D49" i="7" s="1"/>
  <c r="B45" i="7"/>
  <c r="F42" i="7"/>
  <c r="D42" i="7"/>
  <c r="G41" i="7"/>
  <c r="E41" i="7"/>
  <c r="G40" i="7"/>
  <c r="E40" i="7"/>
  <c r="G39" i="7"/>
  <c r="D52" i="7" s="1"/>
  <c r="E39" i="7"/>
  <c r="G38" i="7"/>
  <c r="E38" i="7"/>
  <c r="D50" i="7" s="1"/>
  <c r="D51" i="7" s="1"/>
  <c r="B34" i="7"/>
  <c r="F44" i="7" s="1"/>
  <c r="F45" i="7" s="1"/>
  <c r="F46" i="7" s="1"/>
  <c r="B30" i="7"/>
  <c r="C76" i="6"/>
  <c r="H74" i="6"/>
  <c r="H71" i="6"/>
  <c r="G71" i="6"/>
  <c r="H70" i="6"/>
  <c r="G70" i="6"/>
  <c r="H69" i="6"/>
  <c r="G69" i="6"/>
  <c r="H68" i="6"/>
  <c r="G68" i="6"/>
  <c r="B68" i="6"/>
  <c r="B69" i="6" s="1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H72" i="6" s="1"/>
  <c r="G60" i="6"/>
  <c r="C56" i="6"/>
  <c r="B55" i="6"/>
  <c r="B45" i="6"/>
  <c r="D48" i="6" s="1"/>
  <c r="D49" i="6" s="1"/>
  <c r="F42" i="6"/>
  <c r="D42" i="6"/>
  <c r="G41" i="6"/>
  <c r="E41" i="6"/>
  <c r="G40" i="6"/>
  <c r="E40" i="6"/>
  <c r="G39" i="6"/>
  <c r="G42" i="6" s="1"/>
  <c r="E39" i="6"/>
  <c r="D52" i="6" s="1"/>
  <c r="G38" i="6"/>
  <c r="E38" i="6"/>
  <c r="D50" i="6" s="1"/>
  <c r="D51" i="6" s="1"/>
  <c r="B34" i="6"/>
  <c r="F44" i="6" s="1"/>
  <c r="F45" i="6" s="1"/>
  <c r="F46" i="6" s="1"/>
  <c r="B30" i="6"/>
  <c r="C120" i="5"/>
  <c r="B116" i="5"/>
  <c r="F113" i="5"/>
  <c r="E113" i="5"/>
  <c r="F112" i="5"/>
  <c r="E112" i="5"/>
  <c r="F111" i="5"/>
  <c r="E111" i="5"/>
  <c r="F110" i="5"/>
  <c r="E110" i="5"/>
  <c r="F109" i="5"/>
  <c r="F115" i="5" s="1"/>
  <c r="E109" i="5"/>
  <c r="F108" i="5"/>
  <c r="E108" i="5"/>
  <c r="D100" i="5"/>
  <c r="D101" i="5" s="1"/>
  <c r="D102" i="5" s="1"/>
  <c r="B98" i="5"/>
  <c r="D97" i="5"/>
  <c r="F95" i="5"/>
  <c r="D95" i="5"/>
  <c r="G94" i="5"/>
  <c r="G95" i="5" s="1"/>
  <c r="E94" i="5"/>
  <c r="G93" i="5"/>
  <c r="E93" i="5"/>
  <c r="I92" i="5"/>
  <c r="G92" i="5"/>
  <c r="E92" i="5"/>
  <c r="G91" i="5"/>
  <c r="E91" i="5"/>
  <c r="D103" i="5" s="1"/>
  <c r="D104" i="5" s="1"/>
  <c r="B87" i="5"/>
  <c r="F97" i="5" s="1"/>
  <c r="F98" i="5" s="1"/>
  <c r="F99" i="5" s="1"/>
  <c r="B81" i="5"/>
  <c r="B83" i="5" s="1"/>
  <c r="D98" i="5" s="1"/>
  <c r="D99" i="5" s="1"/>
  <c r="B80" i="5"/>
  <c r="B79" i="5"/>
  <c r="C76" i="5"/>
  <c r="H74" i="5"/>
  <c r="H71" i="5"/>
  <c r="G71" i="5"/>
  <c r="H70" i="5"/>
  <c r="G70" i="5"/>
  <c r="H69" i="5"/>
  <c r="G69" i="5"/>
  <c r="H68" i="5"/>
  <c r="G68" i="5"/>
  <c r="B68" i="5"/>
  <c r="B69" i="5" s="1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H72" i="5" s="1"/>
  <c r="G60" i="5"/>
  <c r="C56" i="5"/>
  <c r="B55" i="5"/>
  <c r="B45" i="5"/>
  <c r="D48" i="5" s="1"/>
  <c r="D49" i="5" s="1"/>
  <c r="F42" i="5"/>
  <c r="I39" i="5" s="1"/>
  <c r="D42" i="5"/>
  <c r="G41" i="5"/>
  <c r="E41" i="5"/>
  <c r="G40" i="5"/>
  <c r="E40" i="5"/>
  <c r="G39" i="5"/>
  <c r="G42" i="5" s="1"/>
  <c r="E39" i="5"/>
  <c r="G38" i="5"/>
  <c r="E38" i="5"/>
  <c r="D50" i="5" s="1"/>
  <c r="D51" i="5" s="1"/>
  <c r="B34" i="5"/>
  <c r="F44" i="5" s="1"/>
  <c r="F45" i="5" s="1"/>
  <c r="F46" i="5" s="1"/>
  <c r="B30" i="5"/>
  <c r="C120" i="4"/>
  <c r="B116" i="4"/>
  <c r="F113" i="4"/>
  <c r="E113" i="4"/>
  <c r="F112" i="4"/>
  <c r="E112" i="4"/>
  <c r="F111" i="4"/>
  <c r="E111" i="4"/>
  <c r="F110" i="4"/>
  <c r="E110" i="4"/>
  <c r="F109" i="4"/>
  <c r="F115" i="4" s="1"/>
  <c r="E109" i="4"/>
  <c r="F108" i="4"/>
  <c r="E108" i="4"/>
  <c r="D101" i="4"/>
  <c r="D102" i="4" s="1"/>
  <c r="D100" i="4"/>
  <c r="B98" i="4"/>
  <c r="F97" i="4"/>
  <c r="D97" i="4"/>
  <c r="F95" i="4"/>
  <c r="D95" i="4"/>
  <c r="I92" i="4" s="1"/>
  <c r="G94" i="4"/>
  <c r="E94" i="4"/>
  <c r="G93" i="4"/>
  <c r="E93" i="4"/>
  <c r="D105" i="4" s="1"/>
  <c r="G92" i="4"/>
  <c r="E92" i="4"/>
  <c r="E95" i="4" s="1"/>
  <c r="G91" i="4"/>
  <c r="G95" i="4" s="1"/>
  <c r="E91" i="4"/>
  <c r="D103" i="4" s="1"/>
  <c r="D104" i="4" s="1"/>
  <c r="B87" i="4"/>
  <c r="B81" i="4"/>
  <c r="B83" i="4" s="1"/>
  <c r="F98" i="4" s="1"/>
  <c r="F99" i="4" s="1"/>
  <c r="B80" i="4"/>
  <c r="B79" i="4"/>
  <c r="C76" i="4"/>
  <c r="H71" i="4"/>
  <c r="G71" i="4"/>
  <c r="H70" i="4"/>
  <c r="G70" i="4"/>
  <c r="H69" i="4"/>
  <c r="G69" i="4"/>
  <c r="B69" i="4"/>
  <c r="H68" i="4"/>
  <c r="G68" i="4"/>
  <c r="B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H74" i="4" s="1"/>
  <c r="G60" i="4"/>
  <c r="C56" i="4"/>
  <c r="B55" i="4"/>
  <c r="D48" i="4"/>
  <c r="D49" i="4" s="1"/>
  <c r="F45" i="4"/>
  <c r="F46" i="4" s="1"/>
  <c r="D45" i="4"/>
  <c r="D46" i="4" s="1"/>
  <c r="B45" i="4"/>
  <c r="F44" i="4"/>
  <c r="D44" i="4"/>
  <c r="F42" i="4"/>
  <c r="D42" i="4"/>
  <c r="G41" i="4"/>
  <c r="G42" i="4" s="1"/>
  <c r="E41" i="4"/>
  <c r="G40" i="4"/>
  <c r="E40" i="4"/>
  <c r="I39" i="4"/>
  <c r="G39" i="4"/>
  <c r="E39" i="4"/>
  <c r="G38" i="4"/>
  <c r="E38" i="4"/>
  <c r="D50" i="4" s="1"/>
  <c r="D51" i="4" s="1"/>
  <c r="B34" i="4"/>
  <c r="B30" i="4"/>
  <c r="D43" i="3"/>
  <c r="D47" i="3" s="1"/>
  <c r="C43" i="3"/>
  <c r="B43" i="3"/>
  <c r="C42" i="3"/>
  <c r="B42" i="3"/>
  <c r="D40" i="3"/>
  <c r="E40" i="3" s="1"/>
  <c r="D39" i="3"/>
  <c r="D38" i="3"/>
  <c r="E38" i="3" s="1"/>
  <c r="D37" i="3"/>
  <c r="D36" i="3"/>
  <c r="E36" i="3" s="1"/>
  <c r="E35" i="3"/>
  <c r="D35" i="3"/>
  <c r="D34" i="3"/>
  <c r="E34" i="3" s="1"/>
  <c r="E33" i="3"/>
  <c r="D33" i="3"/>
  <c r="D32" i="3"/>
  <c r="E32" i="3" s="1"/>
  <c r="E31" i="3"/>
  <c r="D31" i="3"/>
  <c r="D30" i="3"/>
  <c r="E30" i="3" s="1"/>
  <c r="E29" i="3"/>
  <c r="D29" i="3"/>
  <c r="D28" i="3"/>
  <c r="E28" i="3" s="1"/>
  <c r="E27" i="3"/>
  <c r="D27" i="3"/>
  <c r="D26" i="3"/>
  <c r="E26" i="3" s="1"/>
  <c r="E25" i="3"/>
  <c r="D25" i="3"/>
  <c r="D24" i="3"/>
  <c r="E24" i="3" s="1"/>
  <c r="E23" i="3"/>
  <c r="D23" i="3"/>
  <c r="D22" i="3"/>
  <c r="D42" i="3" s="1"/>
  <c r="E21" i="3"/>
  <c r="D21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98" i="4" l="1"/>
  <c r="D99" i="4" s="1"/>
  <c r="F116" i="4"/>
  <c r="G120" i="4"/>
  <c r="H73" i="6"/>
  <c r="G76" i="6"/>
  <c r="G120" i="5"/>
  <c r="F116" i="5"/>
  <c r="H73" i="5"/>
  <c r="G76" i="5"/>
  <c r="D52" i="4"/>
  <c r="F117" i="4"/>
  <c r="G42" i="7"/>
  <c r="D70" i="8"/>
  <c r="D72" i="8"/>
  <c r="C71" i="9"/>
  <c r="D43" i="2"/>
  <c r="B47" i="3"/>
  <c r="D48" i="3"/>
  <c r="H72" i="4"/>
  <c r="D52" i="5"/>
  <c r="D105" i="5"/>
  <c r="F117" i="5"/>
  <c r="D44" i="7"/>
  <c r="D45" i="7" s="1"/>
  <c r="D46" i="7" s="1"/>
  <c r="H72" i="7"/>
  <c r="D57" i="9"/>
  <c r="D60" i="9"/>
  <c r="D64" i="9"/>
  <c r="D68" i="9"/>
  <c r="E37" i="3"/>
  <c r="E39" i="3"/>
  <c r="E21" i="2"/>
  <c r="E22" i="3"/>
  <c r="C47" i="3"/>
  <c r="E42" i="4"/>
  <c r="D44" i="5"/>
  <c r="D45" i="5" s="1"/>
  <c r="D46" i="5" s="1"/>
  <c r="E95" i="5"/>
  <c r="D44" i="6"/>
  <c r="D45" i="6" s="1"/>
  <c r="D46" i="6" s="1"/>
  <c r="E42" i="7"/>
  <c r="G53" i="8"/>
  <c r="C48" i="3"/>
  <c r="E42" i="5"/>
  <c r="E42" i="6"/>
  <c r="D35" i="8"/>
  <c r="D41" i="8" s="1"/>
  <c r="D30" i="9"/>
  <c r="D33" i="9"/>
  <c r="D38" i="9"/>
  <c r="D49" i="9"/>
  <c r="D52" i="9"/>
  <c r="D58" i="9"/>
  <c r="D62" i="9"/>
  <c r="G32" i="8" l="1"/>
  <c r="D42" i="8"/>
  <c r="G35" i="8"/>
  <c r="G36" i="8" s="1"/>
  <c r="H73" i="7"/>
  <c r="G76" i="7"/>
  <c r="C47" i="2"/>
  <c r="C48" i="2"/>
  <c r="D48" i="2"/>
  <c r="B47" i="2"/>
  <c r="D47" i="2"/>
  <c r="E27" i="2"/>
  <c r="E33" i="2"/>
  <c r="E38" i="2"/>
  <c r="E29" i="2"/>
  <c r="E25" i="2"/>
  <c r="G34" i="8"/>
  <c r="H73" i="4"/>
  <c r="G76" i="4"/>
  <c r="E39" i="2"/>
  <c r="E23" i="2"/>
  <c r="E36" i="2"/>
  <c r="E30" i="2"/>
  <c r="E32" i="2"/>
  <c r="E24" i="2"/>
  <c r="D43" i="9"/>
  <c r="D41" i="9"/>
  <c r="G34" i="9"/>
  <c r="E35" i="2"/>
  <c r="E34" i="2"/>
  <c r="E22" i="2"/>
  <c r="D43" i="8"/>
  <c r="E40" i="2"/>
  <c r="D72" i="9"/>
  <c r="D70" i="9"/>
  <c r="G51" i="9"/>
  <c r="G53" i="9"/>
  <c r="D71" i="8"/>
  <c r="G54" i="8"/>
  <c r="E31" i="2"/>
  <c r="E26" i="2"/>
  <c r="E37" i="2"/>
  <c r="E28" i="2"/>
  <c r="G54" i="9" l="1"/>
  <c r="D71" i="9"/>
  <c r="G35" i="9"/>
  <c r="G36" i="9" s="1"/>
  <c r="G32" i="9"/>
  <c r="D42" i="9"/>
  <c r="G57" i="8"/>
  <c r="G55" i="8"/>
  <c r="G56" i="8"/>
  <c r="G56" i="9" l="1"/>
  <c r="G57" i="9"/>
  <c r="G55" i="9"/>
</calcChain>
</file>

<file path=xl/sharedStrings.xml><?xml version="1.0" encoding="utf-8"?>
<sst xmlns="http://schemas.openxmlformats.org/spreadsheetml/2006/main" count="690" uniqueCount="152">
  <si>
    <t>HPLC System Suitability Report</t>
  </si>
  <si>
    <t>Analysis Data</t>
  </si>
  <si>
    <t>Assay</t>
  </si>
  <si>
    <t>Sample(s)</t>
  </si>
  <si>
    <t>Reference Substance:</t>
  </si>
  <si>
    <t>I - NEM 500 MG INJECTION</t>
  </si>
  <si>
    <t>% age Purity:</t>
  </si>
  <si>
    <t>NDQD201505237</t>
  </si>
  <si>
    <t>Weight (mg):</t>
  </si>
  <si>
    <t>IMEPENEM USP, CILASTATIN</t>
  </si>
  <si>
    <t>Standard Conc (mg/mL):</t>
  </si>
  <si>
    <t>Imipenem 500mg &amp; Cilastatin 500mg per bottle</t>
  </si>
  <si>
    <t>2015-05-19 10:43:01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</si>
  <si>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</si>
  <si>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</si>
  <si>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</si>
  <si>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</si>
  <si>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</si>
  <si>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</si>
  <si>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</si>
  <si>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</si>
  <si>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</si>
  <si>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</si>
  <si>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</si>
  <si>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</si>
  <si>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</si>
  <si>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</si>
  <si>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</si>
  <si>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</si>
  <si>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</si>
  <si>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</si>
  <si>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</si>
  <si>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</si>
  <si>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</si>
  <si>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</si>
  <si>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</si>
  <si>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</si>
  <si>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</si>
  <si>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</si>
  <si>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2015-05-27 11:19:25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</si>
  <si>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</si>
  <si>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</si>
  <si>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</si>
  <si>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</si>
  <si>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</si>
  <si>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</si>
  <si>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</si>
  <si>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</si>
  <si>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</si>
  <si>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2015-05-27 11:19:30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</si>
  <si>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</si>
  <si>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</si>
  <si>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</si>
  <si>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</si>
  <si>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</si>
  <si>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</si>
  <si>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</si>
  <si>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</si>
  <si>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</si>
  <si>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</si>
  <si>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</si>
  <si>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</si>
  <si>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</si>
  <si>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</si>
  <si>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</si>
  <si>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</si>
  <si>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</si>
  <si>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</si>
  <si>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</si>
  <si>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</si>
  <si>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</si>
  <si>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</si>
  <si>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</si>
  <si>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</si>
  <si>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</si>
  <si>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</si>
  <si>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</si>
  <si>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</si>
  <si>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</si>
  <si>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</si>
  <si>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</si>
  <si>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</si>
  <si>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</si>
  <si>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</si>
  <si>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</si>
  <si>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</si>
  <si>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</si>
  <si>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</si>
  <si>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</si>
  <si>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</si>
  <si>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</si>
  <si>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</si>
  <si>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</si>
  <si>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</si>
  <si>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</si>
  <si>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</si>
  <si>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</si>
  <si>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</si>
  <si>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</si>
  <si>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</si>
  <si>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</si>
  <si>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</si>
  <si>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</si>
  <si>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</si>
  <si>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</si>
  <si>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</si>
  <si>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</si>
  <si>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</si>
  <si>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</si>
  <si>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</si>
  <si>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</si>
  <si>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</si>
  <si>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</si>
  <si>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</si>
  <si>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</si>
  <si>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</si>
  <si>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</si>
  <si>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</si>
  <si>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</si>
  <si>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</si>
  <si>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</si>
  <si>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</si>
  <si>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</si>
  <si>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</si>
  <si>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</si>
  <si>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</si>
  <si>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</si>
  <si>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</si>
  <si>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   Standard dilution (mL):</t>
  </si>
  <si>
    <t>Desired Concetration (mg/mL):</t>
  </si>
  <si>
    <t>Each Vial contains</t>
  </si>
  <si>
    <t>Average Vial Content Weight (mg):</t>
  </si>
  <si>
    <t>Initial Sample dilution (mL):</t>
  </si>
  <si>
    <t>Sample Weight (mg)</t>
  </si>
  <si>
    <t>National Quality Control Laboratory</t>
  </si>
  <si>
    <t>Laboratory Data Calculation Spreadsheet</t>
  </si>
  <si>
    <t>Determination of weight variation of the Sample</t>
  </si>
  <si>
    <t>Each Tablet/Capsule/vial contains</t>
  </si>
  <si>
    <t>Please enter the percentage amount determined from the Assay test</t>
  </si>
  <si>
    <t>Tablet/Capsule/Vial No.</t>
  </si>
  <si>
    <t>Weight:</t>
  </si>
  <si>
    <t>Content as % of the average content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</si>
  <si>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</si>
  <si>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</si>
  <si>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</si>
  <si>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</si>
  <si>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</si>
  <si>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Average tablet:</t>
  </si>
  <si>
    <t>Repeat Determination of Weight Variation of the Sample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</si>
  <si>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 and</t>
    </r>
  </si>
  <si>
    <t xml:space="preserve">No Unit Less than nor </t>
  </si>
  <si>
    <t xml:space="preserve">No Unit greater 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</si>
</sst>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\ &quot;mg&quot;"/>
    <numFmt numFmtId="174" formatCode="0.0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sz val="11"/>
      <color rgb="FF000000"/>
      <name val="Calibri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1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3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65" fontId="13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2" fontId="11" fillId="2" borderId="38" xfId="0" applyNumberFormat="1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2" fontId="11" fillId="2" borderId="46" xfId="0" applyNumberFormat="1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0" fontId="11" fillId="2" borderId="6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3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65" fontId="13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2" fontId="11" fillId="2" borderId="38" xfId="0" applyNumberFormat="1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2" fontId="11" fillId="2" borderId="46" xfId="0" applyNumberFormat="1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0" fontId="11" fillId="2" borderId="6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170" fontId="14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3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3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4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3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170" fontId="14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3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3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4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3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70" fontId="14" fillId="3" borderId="0" xfId="0" applyNumberFormat="1" applyFont="1" applyFill="1" applyAlignment="1" applyProtection="1">
      <alignment horizontal="left"/>
      <protection locked="0"/>
    </xf>
    <xf numFmtId="0" fontId="14" fillId="2" borderId="0" xfId="0" applyFont="1" applyFill="1"/>
    <xf numFmtId="170" fontId="11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vertical="center" wrapText="1"/>
    </xf>
    <xf numFmtId="0" fontId="11" fillId="2" borderId="35" xfId="0" applyFont="1" applyFill="1" applyBorder="1" applyAlignment="1">
      <alignment horizontal="righ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2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12" fillId="7" borderId="34" xfId="0" applyFont="1" applyFill="1" applyBorder="1" applyAlignment="1">
      <alignment horizontal="center" wrapText="1"/>
    </xf>
    <xf numFmtId="0" fontId="11" fillId="2" borderId="41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174" fontId="11" fillId="2" borderId="36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174" fontId="11" fillId="2" borderId="54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74" fontId="12" fillId="5" borderId="39" xfId="0" applyNumberFormat="1" applyFont="1" applyFill="1" applyBorder="1" applyAlignment="1">
      <alignment horizontal="center"/>
    </xf>
    <xf numFmtId="10" fontId="12" fillId="6" borderId="39" xfId="0" applyNumberFormat="1" applyFont="1" applyFill="1" applyBorder="1" applyAlignment="1">
      <alignment horizontal="center"/>
    </xf>
    <xf numFmtId="1" fontId="12" fillId="5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58" xfId="0" applyFont="1" applyFill="1" applyBorder="1" applyAlignment="1">
      <alignment horizontal="center"/>
    </xf>
    <xf numFmtId="0" fontId="14" fillId="3" borderId="38" xfId="0" applyFont="1" applyFill="1" applyBorder="1" applyAlignment="1" applyProtection="1">
      <alignment horizontal="center" wrapText="1"/>
      <protection locked="0"/>
    </xf>
    <xf numFmtId="0" fontId="11" fillId="2" borderId="56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 wrapText="1"/>
      <protection locked="0"/>
    </xf>
    <xf numFmtId="174" fontId="6" fillId="2" borderId="0" xfId="0" applyNumberFormat="1" applyFont="1" applyFill="1"/>
    <xf numFmtId="2" fontId="12" fillId="5" borderId="28" xfId="0" applyNumberFormat="1" applyFont="1" applyFill="1" applyBorder="1" applyAlignment="1">
      <alignment horizontal="center"/>
    </xf>
    <xf numFmtId="174" fontId="12" fillId="5" borderId="23" xfId="0" applyNumberFormat="1" applyFont="1" applyFill="1" applyBorder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1" fontId="12" fillId="5" borderId="18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4" fillId="2" borderId="0" xfId="0" applyFont="1" applyFill="1" applyAlignment="1" applyProtection="1">
      <alignment horizontal="right"/>
      <protection locked="0"/>
    </xf>
    <xf numFmtId="174" fontId="11" fillId="2" borderId="42" xfId="0" applyNumberFormat="1" applyFont="1" applyFill="1" applyBorder="1" applyAlignment="1">
      <alignment horizontal="center"/>
    </xf>
    <xf numFmtId="174" fontId="11" fillId="2" borderId="44" xfId="0" applyNumberFormat="1" applyFont="1" applyFill="1" applyBorder="1" applyAlignment="1">
      <alignment horizontal="center"/>
    </xf>
    <xf numFmtId="174" fontId="11" fillId="2" borderId="49" xfId="0" applyNumberFormat="1" applyFont="1" applyFill="1" applyBorder="1" applyAlignment="1">
      <alignment horizontal="center"/>
    </xf>
    <xf numFmtId="0" fontId="6" fillId="2" borderId="36" xfId="0" applyFont="1" applyFill="1" applyBorder="1"/>
    <xf numFmtId="0" fontId="14" fillId="3" borderId="48" xfId="0" applyFont="1" applyFill="1" applyBorder="1" applyAlignment="1" applyProtection="1">
      <alignment horizontal="center" wrapText="1"/>
      <protection locked="0"/>
    </xf>
    <xf numFmtId="0" fontId="12" fillId="2" borderId="33" xfId="0" applyFont="1" applyFill="1" applyBorder="1" applyAlignment="1">
      <alignment horizontal="center"/>
    </xf>
    <xf numFmtId="174" fontId="11" fillId="2" borderId="34" xfId="0" applyNumberFormat="1" applyFont="1" applyFill="1" applyBorder="1" applyAlignment="1">
      <alignment horizontal="center"/>
    </xf>
    <xf numFmtId="0" fontId="12" fillId="7" borderId="28" xfId="0" applyFont="1" applyFill="1" applyBorder="1" applyAlignment="1">
      <alignment horizontal="center"/>
    </xf>
    <xf numFmtId="0" fontId="14" fillId="3" borderId="63" xfId="0" applyFont="1" applyFill="1" applyBorder="1" applyAlignment="1" applyProtection="1">
      <alignment horizontal="center" wrapText="1"/>
      <protection locked="0"/>
    </xf>
    <xf numFmtId="0" fontId="14" fillId="3" borderId="53" xfId="0" applyFont="1" applyFill="1" applyBorder="1" applyAlignment="1" applyProtection="1">
      <alignment horizontal="center" wrapText="1"/>
      <protection locked="0"/>
    </xf>
    <xf numFmtId="0" fontId="14" fillId="3" borderId="32" xfId="0" applyFont="1" applyFill="1" applyBorder="1" applyAlignment="1" applyProtection="1">
      <alignment horizontal="center" wrapText="1"/>
      <protection locked="0"/>
    </xf>
    <xf numFmtId="0" fontId="12" fillId="2" borderId="0" xfId="0" applyFont="1" applyFill="1" applyAlignment="1">
      <alignment horizontal="center" wrapText="1"/>
    </xf>
    <xf numFmtId="174" fontId="11" fillId="2" borderId="0" xfId="0" applyNumberFormat="1" applyFont="1" applyFill="1" applyAlignment="1">
      <alignment horizontal="center"/>
    </xf>
    <xf numFmtId="0" fontId="11" fillId="2" borderId="36" xfId="0" applyFont="1" applyFill="1" applyBorder="1"/>
    <xf numFmtId="0" fontId="21" fillId="2" borderId="0" xfId="0" applyFont="1" applyFill="1"/>
    <xf numFmtId="174" fontId="11" fillId="2" borderId="0" xfId="0" applyNumberFormat="1" applyFont="1" applyFill="1"/>
    <xf numFmtId="174" fontId="13" fillId="2" borderId="0" xfId="0" applyNumberFormat="1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0" fontId="11" fillId="2" borderId="6" xfId="0" applyFont="1" applyFill="1" applyBorder="1"/>
    <xf numFmtId="0" fontId="11" fillId="2" borderId="5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37" xfId="0" applyFont="1" applyFill="1" applyBorder="1" applyAlignment="1">
      <alignment horizontal="right"/>
    </xf>
    <xf numFmtId="2" fontId="11" fillId="2" borderId="39" xfId="0" applyNumberFormat="1" applyFont="1" applyFill="1" applyBorder="1" applyAlignment="1">
      <alignment horizontal="center"/>
    </xf>
    <xf numFmtId="0" fontId="14" fillId="3" borderId="39" xfId="0" applyFont="1" applyFill="1" applyBorder="1" applyAlignment="1" applyProtection="1">
      <alignment horizontal="center"/>
      <protection locked="0"/>
    </xf>
    <xf numFmtId="0" fontId="11" fillId="2" borderId="58" xfId="0" applyFont="1" applyFill="1" applyBorder="1" applyAlignment="1">
      <alignment horizontal="right"/>
    </xf>
    <xf numFmtId="2" fontId="11" fillId="2" borderId="4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175" fontId="12" fillId="7" borderId="23" xfId="0" applyNumberFormat="1" applyFont="1" applyFill="1" applyBorder="1" applyAlignment="1">
      <alignment horizontal="center"/>
    </xf>
    <xf numFmtId="175" fontId="12" fillId="6" borderId="39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175" fontId="12" fillId="7" borderId="27" xfId="0" applyNumberFormat="1" applyFont="1" applyFill="1" applyBorder="1" applyAlignment="1">
      <alignment horizontal="center"/>
    </xf>
    <xf numFmtId="175" fontId="12" fillId="6" borderId="27" xfId="0" applyNumberFormat="1" applyFont="1" applyFill="1" applyBorder="1" applyAlignment="1">
      <alignment horizontal="center"/>
    </xf>
    <xf numFmtId="2" fontId="12" fillId="5" borderId="39" xfId="0" applyNumberFormat="1" applyFont="1" applyFill="1" applyBorder="1" applyAlignment="1">
      <alignment horizontal="center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70" fontId="14" fillId="3" borderId="0" xfId="0" applyNumberFormat="1" applyFont="1" applyFill="1" applyAlignment="1" applyProtection="1">
      <alignment horizontal="left"/>
      <protection locked="0"/>
    </xf>
    <xf numFmtId="0" fontId="14" fillId="2" borderId="0" xfId="0" applyFont="1" applyFill="1"/>
    <xf numFmtId="170" fontId="11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vertical="center" wrapText="1"/>
    </xf>
    <xf numFmtId="0" fontId="11" fillId="2" borderId="35" xfId="0" applyFont="1" applyFill="1" applyBorder="1" applyAlignment="1">
      <alignment horizontal="righ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2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12" fillId="7" borderId="34" xfId="0" applyFont="1" applyFill="1" applyBorder="1" applyAlignment="1">
      <alignment horizontal="center" wrapText="1"/>
    </xf>
    <xf numFmtId="0" fontId="11" fillId="2" borderId="41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174" fontId="11" fillId="2" borderId="36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174" fontId="11" fillId="2" borderId="54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74" fontId="12" fillId="5" borderId="39" xfId="0" applyNumberFormat="1" applyFont="1" applyFill="1" applyBorder="1" applyAlignment="1">
      <alignment horizontal="center"/>
    </xf>
    <xf numFmtId="10" fontId="12" fillId="6" borderId="39" xfId="0" applyNumberFormat="1" applyFont="1" applyFill="1" applyBorder="1" applyAlignment="1">
      <alignment horizontal="center"/>
    </xf>
    <xf numFmtId="1" fontId="12" fillId="5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58" xfId="0" applyFont="1" applyFill="1" applyBorder="1" applyAlignment="1">
      <alignment horizontal="center"/>
    </xf>
    <xf numFmtId="0" fontId="14" fillId="3" borderId="38" xfId="0" applyFont="1" applyFill="1" applyBorder="1" applyAlignment="1" applyProtection="1">
      <alignment horizontal="center" wrapText="1"/>
      <protection locked="0"/>
    </xf>
    <xf numFmtId="0" fontId="11" fillId="2" borderId="56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 wrapText="1"/>
      <protection locked="0"/>
    </xf>
    <xf numFmtId="174" fontId="6" fillId="2" borderId="0" xfId="0" applyNumberFormat="1" applyFont="1" applyFill="1"/>
    <xf numFmtId="2" fontId="12" fillId="5" borderId="28" xfId="0" applyNumberFormat="1" applyFont="1" applyFill="1" applyBorder="1" applyAlignment="1">
      <alignment horizontal="center"/>
    </xf>
    <xf numFmtId="174" fontId="12" fillId="5" borderId="23" xfId="0" applyNumberFormat="1" applyFont="1" applyFill="1" applyBorder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1" fontId="12" fillId="5" borderId="18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4" fillId="2" borderId="0" xfId="0" applyFont="1" applyFill="1" applyAlignment="1" applyProtection="1">
      <alignment horizontal="right"/>
      <protection locked="0"/>
    </xf>
    <xf numFmtId="174" fontId="11" fillId="2" borderId="42" xfId="0" applyNumberFormat="1" applyFont="1" applyFill="1" applyBorder="1" applyAlignment="1">
      <alignment horizontal="center"/>
    </xf>
    <xf numFmtId="174" fontId="11" fillId="2" borderId="44" xfId="0" applyNumberFormat="1" applyFont="1" applyFill="1" applyBorder="1" applyAlignment="1">
      <alignment horizontal="center"/>
    </xf>
    <xf numFmtId="174" fontId="11" fillId="2" borderId="49" xfId="0" applyNumberFormat="1" applyFont="1" applyFill="1" applyBorder="1" applyAlignment="1">
      <alignment horizontal="center"/>
    </xf>
    <xf numFmtId="0" fontId="6" fillId="2" borderId="36" xfId="0" applyFont="1" applyFill="1" applyBorder="1"/>
    <xf numFmtId="0" fontId="14" fillId="3" borderId="48" xfId="0" applyFont="1" applyFill="1" applyBorder="1" applyAlignment="1" applyProtection="1">
      <alignment horizontal="center" wrapText="1"/>
      <protection locked="0"/>
    </xf>
    <xf numFmtId="0" fontId="12" fillId="2" borderId="33" xfId="0" applyFont="1" applyFill="1" applyBorder="1" applyAlignment="1">
      <alignment horizontal="center"/>
    </xf>
    <xf numFmtId="174" fontId="11" fillId="2" borderId="34" xfId="0" applyNumberFormat="1" applyFont="1" applyFill="1" applyBorder="1" applyAlignment="1">
      <alignment horizontal="center"/>
    </xf>
    <xf numFmtId="0" fontId="12" fillId="7" borderId="28" xfId="0" applyFont="1" applyFill="1" applyBorder="1" applyAlignment="1">
      <alignment horizontal="center"/>
    </xf>
    <xf numFmtId="0" fontId="14" fillId="3" borderId="63" xfId="0" applyFont="1" applyFill="1" applyBorder="1" applyAlignment="1" applyProtection="1">
      <alignment horizontal="center" wrapText="1"/>
      <protection locked="0"/>
    </xf>
    <xf numFmtId="0" fontId="14" fillId="3" borderId="53" xfId="0" applyFont="1" applyFill="1" applyBorder="1" applyAlignment="1" applyProtection="1">
      <alignment horizontal="center" wrapText="1"/>
      <protection locked="0"/>
    </xf>
    <xf numFmtId="0" fontId="14" fillId="3" borderId="32" xfId="0" applyFont="1" applyFill="1" applyBorder="1" applyAlignment="1" applyProtection="1">
      <alignment horizontal="center" wrapText="1"/>
      <protection locked="0"/>
    </xf>
    <xf numFmtId="0" fontId="12" fillId="2" borderId="0" xfId="0" applyFont="1" applyFill="1" applyAlignment="1">
      <alignment horizontal="center" wrapText="1"/>
    </xf>
    <xf numFmtId="174" fontId="11" fillId="2" borderId="0" xfId="0" applyNumberFormat="1" applyFont="1" applyFill="1" applyAlignment="1">
      <alignment horizontal="center"/>
    </xf>
    <xf numFmtId="0" fontId="11" fillId="2" borderId="36" xfId="0" applyFont="1" applyFill="1" applyBorder="1"/>
    <xf numFmtId="0" fontId="21" fillId="2" borderId="0" xfId="0" applyFont="1" applyFill="1"/>
    <xf numFmtId="174" fontId="11" fillId="2" borderId="0" xfId="0" applyNumberFormat="1" applyFont="1" applyFill="1"/>
    <xf numFmtId="174" fontId="13" fillId="2" borderId="0" xfId="0" applyNumberFormat="1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0" fontId="11" fillId="2" borderId="6" xfId="0" applyFont="1" applyFill="1" applyBorder="1"/>
    <xf numFmtId="0" fontId="11" fillId="2" borderId="5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37" xfId="0" applyFont="1" applyFill="1" applyBorder="1" applyAlignment="1">
      <alignment horizontal="right"/>
    </xf>
    <xf numFmtId="2" fontId="11" fillId="2" borderId="39" xfId="0" applyNumberFormat="1" applyFont="1" applyFill="1" applyBorder="1" applyAlignment="1">
      <alignment horizontal="center"/>
    </xf>
    <xf numFmtId="0" fontId="14" fillId="3" borderId="39" xfId="0" applyFont="1" applyFill="1" applyBorder="1" applyAlignment="1" applyProtection="1">
      <alignment horizontal="center"/>
      <protection locked="0"/>
    </xf>
    <xf numFmtId="0" fontId="11" fillId="2" borderId="58" xfId="0" applyFont="1" applyFill="1" applyBorder="1" applyAlignment="1">
      <alignment horizontal="right"/>
    </xf>
    <xf numFmtId="2" fontId="11" fillId="2" borderId="4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175" fontId="12" fillId="7" borderId="23" xfId="0" applyNumberFormat="1" applyFont="1" applyFill="1" applyBorder="1" applyAlignment="1">
      <alignment horizontal="center"/>
    </xf>
    <xf numFmtId="175" fontId="12" fillId="6" borderId="39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175" fontId="12" fillId="7" borderId="27" xfId="0" applyNumberFormat="1" applyFont="1" applyFill="1" applyBorder="1" applyAlignment="1">
      <alignment horizontal="center"/>
    </xf>
    <xf numFmtId="175" fontId="12" fillId="6" borderId="27" xfId="0" applyNumberFormat="1" applyFont="1" applyFill="1" applyBorder="1" applyAlignment="1">
      <alignment horizontal="center"/>
    </xf>
    <xf numFmtId="2" fontId="12" fillId="5" borderId="39" xfId="0" applyNumberFormat="1" applyFont="1" applyFill="1" applyBorder="1" applyAlignment="1">
      <alignment horizontal="center"/>
    </xf>
    <xf numFmtId="2" fontId="13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2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2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2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9" fillId="2" borderId="62" xfId="0" applyFont="1" applyFill="1" applyBorder="1" applyAlignment="1">
      <alignment horizontal="left"/>
    </xf>
    <xf numFmtId="0" fontId="19" fillId="2" borderId="30" xfId="0" applyFont="1" applyFill="1" applyBorder="1" applyAlignment="1">
      <alignment horizontal="left"/>
    </xf>
  </cellXfs>
  <cellStyles count="1">
    <cellStyle name="Normal" xfId="0" builtinId="0"/>
  </cellStyles>
  <dxfs count="100"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968" t="s">
        <v>0</v>
      </c>
      <c r="B15" s="968"/>
      <c r="C15" s="968"/>
      <c r="D15" s="968"/>
      <c r="E15" s="96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969" t="s">
        <v>26</v>
      </c>
      <c r="C59" s="96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82" workbookViewId="0">
      <selection activeCell="E40" sqref="E4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972" t="s">
        <v>31</v>
      </c>
      <c r="B8" s="972"/>
      <c r="C8" s="972"/>
      <c r="D8" s="972"/>
      <c r="E8" s="972"/>
      <c r="F8" s="972"/>
      <c r="G8" s="97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973" t="s">
        <v>32</v>
      </c>
      <c r="B10" s="973"/>
      <c r="C10" s="973"/>
      <c r="D10" s="973"/>
      <c r="E10" s="973"/>
      <c r="F10" s="973"/>
      <c r="G10" s="97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970" t="s">
        <v>33</v>
      </c>
      <c r="B11" s="970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970" t="s">
        <v>34</v>
      </c>
      <c r="B12" s="970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970" t="s">
        <v>35</v>
      </c>
      <c r="B13" s="970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970" t="s">
        <v>36</v>
      </c>
      <c r="B14" s="970"/>
      <c r="C14" s="971" t="s">
        <v>11</v>
      </c>
      <c r="D14" s="971"/>
      <c r="E14" s="971"/>
      <c r="F14" s="971"/>
      <c r="G14" s="97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970" t="s">
        <v>37</v>
      </c>
      <c r="B15" s="970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970" t="s">
        <v>38</v>
      </c>
      <c r="B16" s="970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974" t="s">
        <v>1</v>
      </c>
      <c r="B18" s="974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21442.59</v>
      </c>
      <c r="C21" s="83">
        <v>20309.8</v>
      </c>
      <c r="D21" s="84">
        <f t="shared" ref="D21:D40" si="0">B21-C21</f>
        <v>1132.7900000000009</v>
      </c>
      <c r="E21" s="85">
        <f t="shared" ref="E21:E40" si="1">(D21-$D$43)/$D$43</f>
        <v>1.0724769578059148E-2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21044.6</v>
      </c>
      <c r="C22" s="88">
        <v>19911.34</v>
      </c>
      <c r="D22" s="89">
        <f t="shared" si="0"/>
        <v>1133.2599999999984</v>
      </c>
      <c r="E22" s="85">
        <f t="shared" si="1"/>
        <v>1.1144124128946062E-2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21659.01</v>
      </c>
      <c r="C23" s="88">
        <v>20533.8</v>
      </c>
      <c r="D23" s="89">
        <f t="shared" si="0"/>
        <v>1125.2099999999991</v>
      </c>
      <c r="E23" s="85">
        <f t="shared" si="1"/>
        <v>3.9615621403138925E-3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21098.98</v>
      </c>
      <c r="C24" s="88">
        <v>19967.439999999999</v>
      </c>
      <c r="D24" s="89">
        <f t="shared" si="0"/>
        <v>1131.5400000000009</v>
      </c>
      <c r="E24" s="85">
        <f t="shared" si="1"/>
        <v>9.6094649214391453E-3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21134.35</v>
      </c>
      <c r="C25" s="88">
        <v>20014.12</v>
      </c>
      <c r="D25" s="89">
        <f t="shared" si="0"/>
        <v>1120.2299999999996</v>
      </c>
      <c r="E25" s="85">
        <f t="shared" si="1"/>
        <v>-4.8181161165980875E-4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21315.56</v>
      </c>
      <c r="C26" s="88">
        <v>20191.28</v>
      </c>
      <c r="D26" s="89">
        <f t="shared" si="0"/>
        <v>1124.2800000000025</v>
      </c>
      <c r="E26" s="85">
        <f t="shared" si="1"/>
        <v>3.1317754757915969E-3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21262.68</v>
      </c>
      <c r="C27" s="88">
        <v>20113.03</v>
      </c>
      <c r="D27" s="89">
        <f t="shared" si="0"/>
        <v>1149.6500000000015</v>
      </c>
      <c r="E27" s="85">
        <f t="shared" si="1"/>
        <v>2.5767998786550266E-2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21172.43</v>
      </c>
      <c r="C28" s="88">
        <v>19834.240000000002</v>
      </c>
      <c r="D28" s="89">
        <f t="shared" si="0"/>
        <v>1338.1899999999987</v>
      </c>
      <c r="E28" s="85">
        <f t="shared" si="1"/>
        <v>0.19399163075385606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21304.13</v>
      </c>
      <c r="C29" s="88">
        <v>20162.080000000002</v>
      </c>
      <c r="D29" s="89">
        <f t="shared" si="0"/>
        <v>1142.0499999999993</v>
      </c>
      <c r="E29" s="85">
        <f t="shared" si="1"/>
        <v>1.8986946474298699E-2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21127.09</v>
      </c>
      <c r="C30" s="88">
        <v>20000.34</v>
      </c>
      <c r="D30" s="89">
        <f t="shared" si="0"/>
        <v>1126.75</v>
      </c>
      <c r="E30" s="85">
        <f t="shared" si="1"/>
        <v>5.3356174772705156E-3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21536.17</v>
      </c>
      <c r="C31" s="88">
        <v>20571.13</v>
      </c>
      <c r="D31" s="89">
        <f t="shared" si="0"/>
        <v>965.03999999999724</v>
      </c>
      <c r="E31" s="85">
        <f t="shared" si="1"/>
        <v>-0.13894911534034848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21493.19</v>
      </c>
      <c r="C32" s="88">
        <v>20391.240000000002</v>
      </c>
      <c r="D32" s="89">
        <f t="shared" si="0"/>
        <v>1101.9499999999971</v>
      </c>
      <c r="E32" s="85">
        <f t="shared" si="1"/>
        <v>-1.6792026910072935E-2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21328.63</v>
      </c>
      <c r="C33" s="88">
        <v>20206.689999999999</v>
      </c>
      <c r="D33" s="89">
        <f t="shared" si="0"/>
        <v>1121.9400000000023</v>
      </c>
      <c r="E33" s="85">
        <f t="shared" si="1"/>
        <v>1.043925158598822E-3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21219.06</v>
      </c>
      <c r="C34" s="88">
        <v>20082.02</v>
      </c>
      <c r="D34" s="89">
        <f t="shared" si="0"/>
        <v>1137.0400000000009</v>
      </c>
      <c r="E34" s="85">
        <f t="shared" si="1"/>
        <v>1.4516805410567157E-2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21112.720000000001</v>
      </c>
      <c r="C35" s="88">
        <v>19991.38</v>
      </c>
      <c r="D35" s="89">
        <f t="shared" si="0"/>
        <v>1121.3400000000001</v>
      </c>
      <c r="E35" s="85">
        <f t="shared" si="1"/>
        <v>5.085789234192731E-4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21279.53</v>
      </c>
      <c r="C36" s="88">
        <v>20121.14</v>
      </c>
      <c r="D36" s="89">
        <f t="shared" si="0"/>
        <v>1158.3899999999994</v>
      </c>
      <c r="E36" s="85">
        <f t="shared" si="1"/>
        <v>3.3566208945635508E-2</v>
      </c>
      <c r="G36" s="66"/>
      <c r="H36" s="66"/>
    </row>
    <row r="37" spans="1:15" ht="15" x14ac:dyDescent="0.3">
      <c r="A37" s="86">
        <v>17</v>
      </c>
      <c r="B37" s="90">
        <v>21135.69</v>
      </c>
      <c r="C37" s="88">
        <v>20024.22</v>
      </c>
      <c r="D37" s="89">
        <f t="shared" si="0"/>
        <v>1111.4699999999975</v>
      </c>
      <c r="E37" s="85">
        <f t="shared" si="1"/>
        <v>-8.2978666452546059E-3</v>
      </c>
    </row>
    <row r="38" spans="1:15" ht="15" x14ac:dyDescent="0.3">
      <c r="A38" s="86">
        <v>18</v>
      </c>
      <c r="B38" s="90">
        <v>20934.259999999998</v>
      </c>
      <c r="C38" s="88">
        <v>20035.13</v>
      </c>
      <c r="D38" s="89">
        <f t="shared" si="0"/>
        <v>899.12999999999738</v>
      </c>
      <c r="E38" s="85">
        <f t="shared" si="1"/>
        <v>-0.19775689927460785</v>
      </c>
    </row>
    <row r="39" spans="1:15" ht="15" x14ac:dyDescent="0.3">
      <c r="A39" s="86">
        <v>19</v>
      </c>
      <c r="B39" s="90">
        <v>21505.52</v>
      </c>
      <c r="C39" s="88">
        <v>20382.88</v>
      </c>
      <c r="D39" s="89">
        <f t="shared" si="0"/>
        <v>1122.6399999999994</v>
      </c>
      <c r="E39" s="85">
        <f t="shared" si="1"/>
        <v>1.6684957663034268E-3</v>
      </c>
    </row>
    <row r="40" spans="1:15" ht="14.25" customHeight="1" x14ac:dyDescent="0.3">
      <c r="A40" s="91">
        <v>20</v>
      </c>
      <c r="B40" s="92">
        <v>21388.48</v>
      </c>
      <c r="C40" s="93">
        <v>20235.97</v>
      </c>
      <c r="D40" s="94">
        <f t="shared" si="0"/>
        <v>1152.5099999999984</v>
      </c>
      <c r="E40" s="95">
        <f t="shared" si="1"/>
        <v>2.8319815840894106E-2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425494.67</v>
      </c>
      <c r="C42" s="98">
        <f>SUM(C21:C40)</f>
        <v>403079.27</v>
      </c>
      <c r="D42" s="99">
        <f>SUM(D21:D40)</f>
        <v>22415.399999999991</v>
      </c>
    </row>
    <row r="43" spans="1:15" ht="15.75" customHeight="1" x14ac:dyDescent="0.3">
      <c r="A43" s="100" t="s">
        <v>47</v>
      </c>
      <c r="B43" s="101">
        <f>AVERAGE(B21:B40)</f>
        <v>21274.733499999998</v>
      </c>
      <c r="C43" s="102">
        <f>AVERAGE(C21:C40)</f>
        <v>20153.963500000002</v>
      </c>
      <c r="D43" s="103">
        <f>AVERAGE(D21:D40)</f>
        <v>1120.7699999999995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975">
        <f>D43</f>
        <v>1120.7699999999995</v>
      </c>
      <c r="C47" s="107">
        <f>-(IF(D43&gt;300, 7.5%, 10%))</f>
        <v>-7.4999999999999997E-2</v>
      </c>
      <c r="D47" s="108">
        <f>IF(D43&lt;300, D43*0.9, D43*0.925)</f>
        <v>1036.7122499999996</v>
      </c>
    </row>
    <row r="48" spans="1:15" ht="15.75" customHeight="1" x14ac:dyDescent="0.3">
      <c r="B48" s="976"/>
      <c r="C48" s="109">
        <f>+(IF(D43&gt;300, 7.5%, 10%))</f>
        <v>7.4999999999999997E-2</v>
      </c>
      <c r="D48" s="108">
        <f>IF(D43&lt;300, D43*1.1, D43*1.075)</f>
        <v>1204.8277499999995</v>
      </c>
    </row>
    <row r="49" spans="1:7" ht="14.25" customHeight="1" x14ac:dyDescent="0.3">
      <c r="A49" s="110"/>
      <c r="D49" s="111"/>
    </row>
    <row r="50" spans="1:7" ht="15" customHeight="1" x14ac:dyDescent="0.3">
      <c r="B50" s="969" t="s">
        <v>26</v>
      </c>
      <c r="C50" s="969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99" priority="1" operator="notBetween">
      <formula>IF(+$D$43&lt;300, -10.5%, -7.5%)</formula>
      <formula>IF(+$D$43&lt;300, 10.5%, 7.5%)</formula>
    </cfRule>
  </conditionalFormatting>
  <conditionalFormatting sqref="E22">
    <cfRule type="cellIs" dxfId="98" priority="2" operator="notBetween">
      <formula>IF(+$D$43&lt;300, -10.5%, -7.5%)</formula>
      <formula>IF(+$D$43&lt;300, 10.5%, 7.5%)</formula>
    </cfRule>
  </conditionalFormatting>
  <conditionalFormatting sqref="E23">
    <cfRule type="cellIs" dxfId="97" priority="3" operator="notBetween">
      <formula>IF(+$D$43&lt;300, -10.5%, -7.5%)</formula>
      <formula>IF(+$D$43&lt;300, 10.5%, 7.5%)</formula>
    </cfRule>
  </conditionalFormatting>
  <conditionalFormatting sqref="E24">
    <cfRule type="cellIs" dxfId="96" priority="4" operator="notBetween">
      <formula>IF(+$D$43&lt;300, -10.5%, -7.5%)</formula>
      <formula>IF(+$D$43&lt;300, 10.5%, 7.5%)</formula>
    </cfRule>
  </conditionalFormatting>
  <conditionalFormatting sqref="E25">
    <cfRule type="cellIs" dxfId="95" priority="5" operator="notBetween">
      <formula>IF(+$D$43&lt;300, -10.5%, -7.5%)</formula>
      <formula>IF(+$D$43&lt;300, 10.5%, 7.5%)</formula>
    </cfRule>
  </conditionalFormatting>
  <conditionalFormatting sqref="E26">
    <cfRule type="cellIs" dxfId="94" priority="6" operator="notBetween">
      <formula>IF(+$D$43&lt;300, -10.5%, -7.5%)</formula>
      <formula>IF(+$D$43&lt;300, 10.5%, 7.5%)</formula>
    </cfRule>
  </conditionalFormatting>
  <conditionalFormatting sqref="E27">
    <cfRule type="cellIs" dxfId="93" priority="7" operator="notBetween">
      <formula>IF(+$D$43&lt;300, -10.5%, -7.5%)</formula>
      <formula>IF(+$D$43&lt;300, 10.5%, 7.5%)</formula>
    </cfRule>
  </conditionalFormatting>
  <conditionalFormatting sqref="E28">
    <cfRule type="cellIs" dxfId="92" priority="8" operator="notBetween">
      <formula>IF(+$D$43&lt;300, -10.5%, -7.5%)</formula>
      <formula>IF(+$D$43&lt;300, 10.5%, 7.5%)</formula>
    </cfRule>
  </conditionalFormatting>
  <conditionalFormatting sqref="E29">
    <cfRule type="cellIs" dxfId="91" priority="9" operator="notBetween">
      <formula>IF(+$D$43&lt;300, -10.5%, -7.5%)</formula>
      <formula>IF(+$D$43&lt;300, 10.5%, 7.5%)</formula>
    </cfRule>
  </conditionalFormatting>
  <conditionalFormatting sqref="E30">
    <cfRule type="cellIs" dxfId="90" priority="10" operator="notBetween">
      <formula>IF(+$D$43&lt;300, -10.5%, -7.5%)</formula>
      <formula>IF(+$D$43&lt;300, 10.5%, 7.5%)</formula>
    </cfRule>
  </conditionalFormatting>
  <conditionalFormatting sqref="E31">
    <cfRule type="cellIs" dxfId="89" priority="11" operator="notBetween">
      <formula>IF(+$D$43&lt;300, -10.5%, -7.5%)</formula>
      <formula>IF(+$D$43&lt;300, 10.5%, 7.5%)</formula>
    </cfRule>
  </conditionalFormatting>
  <conditionalFormatting sqref="E32">
    <cfRule type="cellIs" dxfId="88" priority="12" operator="notBetween">
      <formula>IF(+$D$43&lt;300, -10.5%, -7.5%)</formula>
      <formula>IF(+$D$43&lt;300, 10.5%, 7.5%)</formula>
    </cfRule>
  </conditionalFormatting>
  <conditionalFormatting sqref="E33">
    <cfRule type="cellIs" dxfId="87" priority="13" operator="notBetween">
      <formula>IF(+$D$43&lt;300, -10.5%, -7.5%)</formula>
      <formula>IF(+$D$43&lt;300, 10.5%, 7.5%)</formula>
    </cfRule>
  </conditionalFormatting>
  <conditionalFormatting sqref="E34">
    <cfRule type="cellIs" dxfId="86" priority="14" operator="notBetween">
      <formula>IF(+$D$43&lt;300, -10.5%, -7.5%)</formula>
      <formula>IF(+$D$43&lt;300, 10.5%, 7.5%)</formula>
    </cfRule>
  </conditionalFormatting>
  <conditionalFormatting sqref="E35">
    <cfRule type="cellIs" dxfId="85" priority="15" operator="notBetween">
      <formula>IF(+$D$43&lt;300, -10.5%, -7.5%)</formula>
      <formula>IF(+$D$43&lt;300, 10.5%, 7.5%)</formula>
    </cfRule>
  </conditionalFormatting>
  <conditionalFormatting sqref="E36">
    <cfRule type="cellIs" dxfId="84" priority="16" operator="notBetween">
      <formula>IF(+$D$43&lt;300, -10.5%, -7.5%)</formula>
      <formula>IF(+$D$43&lt;300, 10.5%, 7.5%)</formula>
    </cfRule>
  </conditionalFormatting>
  <conditionalFormatting sqref="E37">
    <cfRule type="cellIs" dxfId="83" priority="17" operator="notBetween">
      <formula>IF(+$D$43&lt;300, -10.5%, -7.5%)</formula>
      <formula>IF(+$D$43&lt;300, 10.5%, 7.5%)</formula>
    </cfRule>
  </conditionalFormatting>
  <conditionalFormatting sqref="E38">
    <cfRule type="cellIs" dxfId="82" priority="18" operator="notBetween">
      <formula>IF(+$D$43&lt;300, -10.5%, -7.5%)</formula>
      <formula>IF(+$D$43&lt;300, 10.5%, 7.5%)</formula>
    </cfRule>
  </conditionalFormatting>
  <conditionalFormatting sqref="E39">
    <cfRule type="cellIs" dxfId="81" priority="19" operator="notBetween">
      <formula>IF(+$D$43&lt;300, -10.5%, -7.5%)</formula>
      <formula>IF(+$D$43&lt;300, 10.5%, 7.5%)</formula>
    </cfRule>
  </conditionalFormatting>
  <conditionalFormatting sqref="E40">
    <cfRule type="cellIs" dxfId="8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34" workbookViewId="0">
      <selection activeCell="E40" sqref="E4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134"/>
      <c r="B1" s="135"/>
      <c r="C1" s="134"/>
      <c r="D1" s="136"/>
      <c r="E1" s="137"/>
      <c r="F1" s="135"/>
      <c r="G1" s="137"/>
      <c r="H1" s="119"/>
      <c r="I1" s="120"/>
      <c r="J1" s="119"/>
      <c r="K1" s="128"/>
      <c r="L1" s="119"/>
      <c r="M1" s="120"/>
      <c r="N1" s="119"/>
      <c r="O1" s="120"/>
    </row>
    <row r="2" spans="1:15" ht="15" x14ac:dyDescent="0.3">
      <c r="A2" s="134"/>
      <c r="B2" s="135"/>
      <c r="C2" s="134"/>
      <c r="D2" s="136"/>
      <c r="E2" s="138"/>
      <c r="F2" s="135"/>
      <c r="G2" s="138"/>
      <c r="H2" s="121"/>
      <c r="I2" s="120"/>
      <c r="J2" s="121"/>
      <c r="K2" s="128"/>
      <c r="L2" s="121"/>
      <c r="M2" s="128"/>
      <c r="N2" s="121"/>
      <c r="O2" s="128"/>
    </row>
    <row r="3" spans="1:15" ht="15" x14ac:dyDescent="0.3">
      <c r="A3" s="134"/>
      <c r="B3" s="135"/>
      <c r="C3" s="134"/>
      <c r="D3" s="136"/>
      <c r="E3" s="138"/>
      <c r="F3" s="135"/>
      <c r="G3" s="138"/>
      <c r="H3" s="121"/>
      <c r="I3" s="120"/>
      <c r="J3" s="121"/>
      <c r="K3" s="128"/>
      <c r="L3" s="121"/>
      <c r="M3" s="128"/>
      <c r="N3" s="121"/>
      <c r="O3" s="128"/>
    </row>
    <row r="4" spans="1:15" ht="15" x14ac:dyDescent="0.3">
      <c r="A4" s="134"/>
      <c r="B4" s="135"/>
      <c r="C4" s="134"/>
      <c r="D4" s="136"/>
      <c r="E4" s="138"/>
      <c r="F4" s="135"/>
      <c r="G4" s="138"/>
      <c r="H4" s="121"/>
      <c r="I4" s="120"/>
      <c r="J4" s="121"/>
      <c r="K4" s="128"/>
      <c r="L4" s="121"/>
      <c r="M4" s="128"/>
      <c r="N4" s="121"/>
      <c r="O4" s="128"/>
    </row>
    <row r="5" spans="1:15" ht="15" x14ac:dyDescent="0.3">
      <c r="A5" s="134"/>
      <c r="B5" s="135"/>
      <c r="C5" s="134"/>
      <c r="D5" s="136"/>
      <c r="E5" s="138"/>
      <c r="F5" s="135"/>
      <c r="G5" s="138"/>
      <c r="H5" s="121"/>
      <c r="I5" s="120"/>
      <c r="J5" s="121"/>
      <c r="K5" s="128"/>
      <c r="L5" s="121"/>
      <c r="M5" s="128"/>
      <c r="N5" s="121"/>
      <c r="O5" s="128"/>
    </row>
    <row r="6" spans="1:15" ht="15" x14ac:dyDescent="0.3">
      <c r="A6" s="134"/>
      <c r="B6" s="135"/>
      <c r="C6" s="134"/>
      <c r="D6" s="136"/>
      <c r="E6" s="138"/>
      <c r="F6" s="135"/>
      <c r="G6" s="138"/>
      <c r="H6" s="121"/>
      <c r="I6" s="120"/>
      <c r="J6" s="121"/>
      <c r="K6" s="128"/>
      <c r="L6" s="121"/>
      <c r="M6" s="128"/>
      <c r="N6" s="121"/>
      <c r="O6" s="128"/>
    </row>
    <row r="7" spans="1:15" ht="15" x14ac:dyDescent="0.3">
      <c r="A7" s="134"/>
      <c r="B7" s="135"/>
      <c r="C7" s="134"/>
      <c r="D7" s="136"/>
      <c r="E7" s="138"/>
      <c r="F7" s="135"/>
      <c r="G7" s="138"/>
      <c r="H7" s="121"/>
      <c r="I7" s="120"/>
      <c r="J7" s="121"/>
      <c r="K7" s="128"/>
      <c r="L7" s="121"/>
      <c r="M7" s="128"/>
      <c r="N7" s="121"/>
      <c r="O7" s="128"/>
    </row>
    <row r="8" spans="1:15" ht="19.5" customHeight="1" x14ac:dyDescent="0.3">
      <c r="A8" s="972" t="s">
        <v>31</v>
      </c>
      <c r="B8" s="972"/>
      <c r="C8" s="972"/>
      <c r="D8" s="972"/>
      <c r="E8" s="972"/>
      <c r="F8" s="972"/>
      <c r="G8" s="972"/>
      <c r="H8" s="121"/>
      <c r="I8" s="120"/>
      <c r="J8" s="121"/>
      <c r="K8" s="128"/>
      <c r="L8" s="121"/>
      <c r="M8" s="128"/>
      <c r="N8" s="121"/>
      <c r="O8" s="128"/>
    </row>
    <row r="9" spans="1:15" ht="19.5" customHeight="1" x14ac:dyDescent="0.3">
      <c r="A9" s="139"/>
      <c r="B9" s="139"/>
      <c r="C9" s="139"/>
      <c r="D9" s="139"/>
      <c r="E9" s="139"/>
      <c r="F9" s="139"/>
      <c r="G9" s="139"/>
      <c r="H9" s="121"/>
      <c r="I9" s="120"/>
      <c r="J9" s="121"/>
      <c r="K9" s="128"/>
      <c r="L9" s="121"/>
      <c r="M9" s="128"/>
      <c r="N9" s="121"/>
      <c r="O9" s="128"/>
    </row>
    <row r="10" spans="1:15" ht="16.5" customHeight="1" x14ac:dyDescent="0.3">
      <c r="A10" s="973" t="s">
        <v>32</v>
      </c>
      <c r="B10" s="973"/>
      <c r="C10" s="973"/>
      <c r="D10" s="973"/>
      <c r="E10" s="973"/>
      <c r="F10" s="973"/>
      <c r="G10" s="973"/>
      <c r="H10" s="121"/>
      <c r="I10" s="120"/>
      <c r="J10" s="121"/>
      <c r="K10" s="128"/>
      <c r="L10" s="121"/>
      <c r="M10" s="128"/>
      <c r="N10" s="121"/>
      <c r="O10" s="128"/>
    </row>
    <row r="11" spans="1:15" ht="15" customHeight="1" x14ac:dyDescent="0.3">
      <c r="A11" s="970" t="s">
        <v>33</v>
      </c>
      <c r="B11" s="970"/>
      <c r="C11" s="140" t="s">
        <v>5</v>
      </c>
      <c r="E11" s="121"/>
      <c r="F11" s="120"/>
      <c r="G11" s="121"/>
      <c r="H11" s="121"/>
      <c r="I11" s="120"/>
      <c r="J11" s="121"/>
      <c r="K11" s="128"/>
      <c r="L11" s="121"/>
      <c r="M11" s="128"/>
      <c r="N11" s="121"/>
      <c r="O11" s="128"/>
    </row>
    <row r="12" spans="1:15" ht="15" customHeight="1" x14ac:dyDescent="0.3">
      <c r="A12" s="970" t="s">
        <v>34</v>
      </c>
      <c r="B12" s="970"/>
      <c r="C12" s="140" t="s">
        <v>7</v>
      </c>
      <c r="E12" s="121"/>
      <c r="F12" s="120"/>
      <c r="G12" s="121"/>
      <c r="H12" s="121"/>
      <c r="I12" s="120"/>
      <c r="J12" s="121"/>
      <c r="K12" s="128"/>
      <c r="L12" s="121"/>
      <c r="M12" s="128"/>
      <c r="N12" s="121"/>
      <c r="O12" s="128"/>
    </row>
    <row r="13" spans="1:15" ht="15" customHeight="1" x14ac:dyDescent="0.3">
      <c r="A13" s="970" t="s">
        <v>35</v>
      </c>
      <c r="B13" s="970"/>
      <c r="C13" s="140" t="s">
        <v>9</v>
      </c>
      <c r="E13" s="121"/>
      <c r="F13" s="120"/>
      <c r="G13" s="121"/>
      <c r="H13" s="121"/>
      <c r="I13" s="120"/>
      <c r="J13" s="121"/>
      <c r="K13" s="128"/>
      <c r="L13" s="121"/>
      <c r="M13" s="128"/>
      <c r="N13" s="121"/>
      <c r="O13" s="128"/>
    </row>
    <row r="14" spans="1:15" ht="15" customHeight="1" x14ac:dyDescent="0.3">
      <c r="A14" s="970" t="s">
        <v>36</v>
      </c>
      <c r="B14" s="970"/>
      <c r="C14" s="971" t="s">
        <v>11</v>
      </c>
      <c r="D14" s="971"/>
      <c r="E14" s="971"/>
      <c r="F14" s="971"/>
      <c r="G14" s="971"/>
      <c r="H14" s="121"/>
      <c r="I14" s="120"/>
      <c r="J14" s="121"/>
      <c r="K14" s="128"/>
      <c r="L14" s="121"/>
      <c r="M14" s="128"/>
      <c r="N14" s="121"/>
      <c r="O14" s="128"/>
    </row>
    <row r="15" spans="1:15" ht="15" customHeight="1" x14ac:dyDescent="0.3">
      <c r="A15" s="970" t="s">
        <v>37</v>
      </c>
      <c r="B15" s="970"/>
      <c r="C15" s="141" t="s">
        <v>12</v>
      </c>
      <c r="D15" s="140"/>
      <c r="E15" s="121"/>
      <c r="F15" s="120"/>
      <c r="G15" s="121"/>
      <c r="H15" s="121"/>
      <c r="I15" s="120"/>
      <c r="J15" s="121"/>
      <c r="K15" s="128"/>
      <c r="L15" s="121"/>
      <c r="M15" s="128"/>
      <c r="N15" s="121"/>
      <c r="O15" s="128"/>
    </row>
    <row r="16" spans="1:15" ht="15" customHeight="1" x14ac:dyDescent="0.3">
      <c r="A16" s="970" t="s">
        <v>38</v>
      </c>
      <c r="B16" s="970"/>
      <c r="C16" s="141" t="s">
        <v>49</v>
      </c>
      <c r="D16" s="140"/>
      <c r="E16" s="121"/>
      <c r="F16" s="120"/>
      <c r="G16" s="121"/>
      <c r="H16" s="121"/>
      <c r="I16" s="120"/>
      <c r="J16" s="121"/>
      <c r="K16" s="128"/>
      <c r="L16" s="121"/>
      <c r="M16" s="128"/>
      <c r="N16" s="121"/>
      <c r="O16" s="128"/>
    </row>
    <row r="17" spans="1:15" x14ac:dyDescent="0.3">
      <c r="B17" s="140"/>
      <c r="D17" s="140"/>
      <c r="E17" s="121"/>
      <c r="F17" s="120"/>
      <c r="G17" s="121"/>
      <c r="H17" s="121"/>
      <c r="I17" s="120"/>
      <c r="J17" s="121"/>
      <c r="K17" s="128"/>
      <c r="L17" s="121"/>
      <c r="M17" s="128"/>
      <c r="N17" s="121"/>
      <c r="O17" s="128"/>
    </row>
    <row r="18" spans="1:15" ht="15" customHeight="1" x14ac:dyDescent="0.3">
      <c r="A18" s="974" t="s">
        <v>1</v>
      </c>
      <c r="B18" s="974"/>
      <c r="C18" s="142" t="s">
        <v>40</v>
      </c>
      <c r="D18" s="140"/>
      <c r="E18" s="121"/>
      <c r="F18" s="120"/>
      <c r="G18" s="121"/>
      <c r="H18" s="121"/>
      <c r="I18" s="120"/>
      <c r="J18" s="121"/>
      <c r="K18" s="128"/>
      <c r="L18" s="121"/>
      <c r="M18" s="128"/>
      <c r="N18" s="121"/>
      <c r="O18" s="128"/>
    </row>
    <row r="19" spans="1:15" ht="15.75" customHeight="1" x14ac:dyDescent="0.3">
      <c r="A19" s="143"/>
      <c r="B19" s="140"/>
      <c r="D19" s="140"/>
      <c r="E19" s="121"/>
      <c r="F19" s="120"/>
      <c r="G19" s="121"/>
      <c r="H19" s="121"/>
      <c r="I19" s="120"/>
      <c r="J19" s="121"/>
      <c r="K19" s="128"/>
      <c r="L19" s="121"/>
      <c r="M19" s="128"/>
      <c r="N19" s="121"/>
      <c r="O19" s="128"/>
    </row>
    <row r="20" spans="1:15" ht="15.75" customHeight="1" x14ac:dyDescent="0.3">
      <c r="A20" s="144" t="s">
        <v>41</v>
      </c>
      <c r="B20" s="145" t="s">
        <v>42</v>
      </c>
      <c r="C20" s="146" t="s">
        <v>43</v>
      </c>
      <c r="D20" s="144" t="s">
        <v>44</v>
      </c>
      <c r="E20" s="147" t="s">
        <v>45</v>
      </c>
      <c r="G20" s="121"/>
      <c r="H20" s="129"/>
      <c r="I20" s="120"/>
      <c r="J20" s="121"/>
      <c r="K20" s="128"/>
      <c r="L20" s="129"/>
      <c r="M20" s="128"/>
      <c r="N20" s="129"/>
      <c r="O20" s="128"/>
    </row>
    <row r="21" spans="1:15" ht="15" x14ac:dyDescent="0.3">
      <c r="A21" s="148">
        <v>1</v>
      </c>
      <c r="B21" s="149">
        <v>21442.59</v>
      </c>
      <c r="C21" s="150">
        <v>20309.8</v>
      </c>
      <c r="D21" s="151">
        <f t="shared" ref="D21:D40" si="0">B21-C21</f>
        <v>1132.7900000000009</v>
      </c>
      <c r="E21" s="152">
        <f t="shared" ref="E21:E40" si="1">(D21-$D$43)/$D$43</f>
        <v>1.0724769578059148E-2</v>
      </c>
      <c r="G21" s="121"/>
      <c r="H21" s="129"/>
      <c r="I21" s="120"/>
      <c r="J21" s="121"/>
      <c r="K21" s="128"/>
      <c r="L21" s="129"/>
      <c r="M21" s="128"/>
      <c r="N21" s="129"/>
      <c r="O21" s="128"/>
    </row>
    <row r="22" spans="1:15" ht="15" x14ac:dyDescent="0.3">
      <c r="A22" s="153">
        <v>2</v>
      </c>
      <c r="B22" s="154">
        <v>21044.6</v>
      </c>
      <c r="C22" s="155">
        <v>19911.34</v>
      </c>
      <c r="D22" s="156">
        <f t="shared" si="0"/>
        <v>1133.2599999999984</v>
      </c>
      <c r="E22" s="152">
        <f t="shared" si="1"/>
        <v>1.1144124128946062E-2</v>
      </c>
      <c r="G22" s="121"/>
      <c r="H22" s="129"/>
      <c r="I22" s="120"/>
      <c r="J22" s="121"/>
      <c r="K22" s="128"/>
      <c r="L22" s="129"/>
      <c r="M22" s="128"/>
      <c r="N22" s="129"/>
      <c r="O22" s="128"/>
    </row>
    <row r="23" spans="1:15" ht="15" x14ac:dyDescent="0.3">
      <c r="A23" s="153">
        <v>3</v>
      </c>
      <c r="B23" s="154">
        <v>21659.01</v>
      </c>
      <c r="C23" s="155">
        <v>20533.8</v>
      </c>
      <c r="D23" s="156">
        <f t="shared" si="0"/>
        <v>1125.2099999999991</v>
      </c>
      <c r="E23" s="152">
        <f t="shared" si="1"/>
        <v>3.9615621403138925E-3</v>
      </c>
      <c r="G23" s="121"/>
      <c r="H23" s="129"/>
      <c r="I23" s="120"/>
      <c r="J23" s="121"/>
      <c r="K23" s="128"/>
      <c r="L23" s="129"/>
      <c r="M23" s="128"/>
      <c r="N23" s="129"/>
      <c r="O23" s="128"/>
    </row>
    <row r="24" spans="1:15" ht="15" x14ac:dyDescent="0.3">
      <c r="A24" s="153">
        <v>4</v>
      </c>
      <c r="B24" s="154">
        <v>21098.98</v>
      </c>
      <c r="C24" s="155">
        <v>19967.439999999999</v>
      </c>
      <c r="D24" s="156">
        <f t="shared" si="0"/>
        <v>1131.5400000000009</v>
      </c>
      <c r="E24" s="152">
        <f t="shared" si="1"/>
        <v>9.6094649214391453E-3</v>
      </c>
      <c r="G24" s="121"/>
      <c r="H24" s="129"/>
      <c r="I24" s="120"/>
      <c r="J24" s="121"/>
      <c r="K24" s="128"/>
      <c r="L24" s="129"/>
      <c r="M24" s="128"/>
      <c r="N24" s="129"/>
      <c r="O24" s="128"/>
    </row>
    <row r="25" spans="1:15" ht="15" x14ac:dyDescent="0.3">
      <c r="A25" s="153">
        <v>5</v>
      </c>
      <c r="B25" s="154">
        <v>21134.35</v>
      </c>
      <c r="C25" s="155">
        <v>20014.12</v>
      </c>
      <c r="D25" s="156">
        <f t="shared" si="0"/>
        <v>1120.2299999999996</v>
      </c>
      <c r="E25" s="152">
        <f t="shared" si="1"/>
        <v>-4.8181161165980875E-4</v>
      </c>
      <c r="G25" s="121"/>
      <c r="H25" s="129"/>
      <c r="I25" s="120"/>
      <c r="J25" s="121"/>
      <c r="K25" s="128"/>
      <c r="L25" s="129"/>
      <c r="M25" s="128"/>
      <c r="N25" s="129"/>
      <c r="O25" s="128"/>
    </row>
    <row r="26" spans="1:15" ht="15" x14ac:dyDescent="0.3">
      <c r="A26" s="153">
        <v>6</v>
      </c>
      <c r="B26" s="154">
        <v>21315.56</v>
      </c>
      <c r="C26" s="155">
        <v>20191.28</v>
      </c>
      <c r="D26" s="156">
        <f t="shared" si="0"/>
        <v>1124.2800000000025</v>
      </c>
      <c r="E26" s="152">
        <f t="shared" si="1"/>
        <v>3.1317754757915969E-3</v>
      </c>
      <c r="G26" s="121"/>
      <c r="H26" s="129"/>
      <c r="I26" s="120"/>
      <c r="J26" s="121"/>
      <c r="K26" s="128"/>
      <c r="L26" s="129"/>
      <c r="M26" s="128"/>
      <c r="N26" s="129"/>
      <c r="O26" s="128"/>
    </row>
    <row r="27" spans="1:15" ht="15" x14ac:dyDescent="0.3">
      <c r="A27" s="153">
        <v>7</v>
      </c>
      <c r="B27" s="154">
        <v>21262.68</v>
      </c>
      <c r="C27" s="155">
        <v>20113.03</v>
      </c>
      <c r="D27" s="156">
        <f t="shared" si="0"/>
        <v>1149.6500000000015</v>
      </c>
      <c r="E27" s="152">
        <f t="shared" si="1"/>
        <v>2.5767998786550266E-2</v>
      </c>
      <c r="G27" s="121"/>
      <c r="H27" s="129"/>
      <c r="I27" s="120"/>
      <c r="J27" s="121"/>
      <c r="K27" s="128"/>
      <c r="L27" s="129"/>
      <c r="M27" s="128"/>
      <c r="N27" s="129"/>
      <c r="O27" s="128"/>
    </row>
    <row r="28" spans="1:15" ht="15" x14ac:dyDescent="0.3">
      <c r="A28" s="153">
        <v>8</v>
      </c>
      <c r="B28" s="154">
        <v>21172.43</v>
      </c>
      <c r="C28" s="155">
        <v>19834.240000000002</v>
      </c>
      <c r="D28" s="156">
        <f t="shared" si="0"/>
        <v>1338.1899999999987</v>
      </c>
      <c r="E28" s="152">
        <f t="shared" si="1"/>
        <v>0.19399163075385606</v>
      </c>
      <c r="G28" s="121"/>
      <c r="H28" s="129"/>
      <c r="I28" s="120"/>
      <c r="J28" s="121"/>
      <c r="K28" s="128"/>
      <c r="L28" s="129"/>
      <c r="M28" s="128"/>
      <c r="N28" s="129"/>
      <c r="O28" s="128"/>
    </row>
    <row r="29" spans="1:15" ht="15" x14ac:dyDescent="0.3">
      <c r="A29" s="153">
        <v>9</v>
      </c>
      <c r="B29" s="154">
        <v>21304.13</v>
      </c>
      <c r="C29" s="155">
        <v>20162.080000000002</v>
      </c>
      <c r="D29" s="156">
        <f t="shared" si="0"/>
        <v>1142.0499999999993</v>
      </c>
      <c r="E29" s="152">
        <f t="shared" si="1"/>
        <v>1.8986946474298699E-2</v>
      </c>
      <c r="G29" s="121"/>
      <c r="H29" s="129"/>
      <c r="I29" s="120"/>
      <c r="J29" s="121"/>
      <c r="K29" s="128"/>
      <c r="L29" s="129"/>
      <c r="M29" s="128"/>
      <c r="N29" s="129"/>
      <c r="O29" s="128"/>
    </row>
    <row r="30" spans="1:15" ht="15" x14ac:dyDescent="0.3">
      <c r="A30" s="153">
        <v>10</v>
      </c>
      <c r="B30" s="157">
        <v>21127.09</v>
      </c>
      <c r="C30" s="155">
        <v>20000.34</v>
      </c>
      <c r="D30" s="156">
        <f t="shared" si="0"/>
        <v>1126.75</v>
      </c>
      <c r="E30" s="152">
        <f t="shared" si="1"/>
        <v>5.3356174772705156E-3</v>
      </c>
      <c r="G30" s="121"/>
      <c r="H30" s="129"/>
      <c r="I30" s="120"/>
      <c r="J30" s="121"/>
      <c r="K30" s="128"/>
      <c r="L30" s="129"/>
      <c r="M30" s="128"/>
      <c r="N30" s="129"/>
      <c r="O30" s="128"/>
    </row>
    <row r="31" spans="1:15" ht="15" x14ac:dyDescent="0.3">
      <c r="A31" s="153">
        <v>11</v>
      </c>
      <c r="B31" s="157">
        <v>21536.17</v>
      </c>
      <c r="C31" s="155">
        <v>20571.13</v>
      </c>
      <c r="D31" s="156">
        <f t="shared" si="0"/>
        <v>965.03999999999724</v>
      </c>
      <c r="E31" s="152">
        <f t="shared" si="1"/>
        <v>-0.13894911534034848</v>
      </c>
      <c r="G31" s="122"/>
      <c r="H31" s="122"/>
      <c r="I31" s="122"/>
      <c r="J31" s="122"/>
      <c r="K31" s="128"/>
      <c r="L31" s="122"/>
      <c r="M31" s="123"/>
      <c r="N31" s="122"/>
      <c r="O31" s="123"/>
    </row>
    <row r="32" spans="1:15" ht="15" x14ac:dyDescent="0.3">
      <c r="A32" s="153">
        <v>12</v>
      </c>
      <c r="B32" s="157">
        <v>21493.19</v>
      </c>
      <c r="C32" s="155">
        <v>20391.240000000002</v>
      </c>
      <c r="D32" s="156">
        <f t="shared" si="0"/>
        <v>1101.9499999999971</v>
      </c>
      <c r="E32" s="152">
        <f t="shared" si="1"/>
        <v>-1.6792026910072935E-2</v>
      </c>
      <c r="G32" s="122"/>
      <c r="H32" s="122"/>
      <c r="I32" s="122"/>
      <c r="J32" s="122"/>
      <c r="K32" s="128"/>
      <c r="L32" s="122"/>
      <c r="M32" s="122"/>
      <c r="N32" s="122"/>
      <c r="O32" s="122"/>
    </row>
    <row r="33" spans="1:15" ht="15" x14ac:dyDescent="0.3">
      <c r="A33" s="153">
        <v>13</v>
      </c>
      <c r="B33" s="157">
        <v>21328.63</v>
      </c>
      <c r="C33" s="155">
        <v>20206.689999999999</v>
      </c>
      <c r="D33" s="156">
        <f t="shared" si="0"/>
        <v>1121.9400000000023</v>
      </c>
      <c r="E33" s="152">
        <f t="shared" si="1"/>
        <v>1.043925158598822E-3</v>
      </c>
      <c r="G33" s="124"/>
      <c r="H33" s="124"/>
      <c r="I33" s="124"/>
      <c r="J33" s="124"/>
      <c r="K33" s="130"/>
      <c r="L33" s="124"/>
      <c r="M33" s="124"/>
      <c r="N33" s="125"/>
      <c r="O33" s="124"/>
    </row>
    <row r="34" spans="1:15" ht="15" x14ac:dyDescent="0.3">
      <c r="A34" s="153">
        <v>14</v>
      </c>
      <c r="B34" s="157">
        <v>21219.06</v>
      </c>
      <c r="C34" s="155">
        <v>20082.02</v>
      </c>
      <c r="D34" s="156">
        <f t="shared" si="0"/>
        <v>1137.0400000000009</v>
      </c>
      <c r="E34" s="152">
        <f t="shared" si="1"/>
        <v>1.4516805410567157E-2</v>
      </c>
      <c r="G34" s="126"/>
      <c r="H34" s="131"/>
      <c r="I34" s="131"/>
      <c r="J34" s="126"/>
      <c r="K34" s="132"/>
      <c r="L34" s="127"/>
      <c r="M34" s="131"/>
      <c r="N34" s="127"/>
      <c r="O34" s="131"/>
    </row>
    <row r="35" spans="1:15" ht="15" x14ac:dyDescent="0.3">
      <c r="A35" s="153">
        <v>15</v>
      </c>
      <c r="B35" s="157">
        <v>21112.720000000001</v>
      </c>
      <c r="C35" s="155">
        <v>19991.38</v>
      </c>
      <c r="D35" s="156">
        <f t="shared" si="0"/>
        <v>1121.3400000000001</v>
      </c>
      <c r="E35" s="152">
        <f t="shared" si="1"/>
        <v>5.085789234192731E-4</v>
      </c>
      <c r="G35" s="126"/>
      <c r="J35" s="126"/>
      <c r="K35" s="132"/>
      <c r="L35" s="127"/>
      <c r="N35" s="127"/>
    </row>
    <row r="36" spans="1:15" ht="15" x14ac:dyDescent="0.3">
      <c r="A36" s="153">
        <v>16</v>
      </c>
      <c r="B36" s="157">
        <v>21279.53</v>
      </c>
      <c r="C36" s="155">
        <v>20121.14</v>
      </c>
      <c r="D36" s="156">
        <f t="shared" si="0"/>
        <v>1158.3899999999994</v>
      </c>
      <c r="E36" s="152">
        <f t="shared" si="1"/>
        <v>3.3566208945635508E-2</v>
      </c>
      <c r="G36" s="133"/>
      <c r="H36" s="133"/>
    </row>
    <row r="37" spans="1:15" ht="15" x14ac:dyDescent="0.3">
      <c r="A37" s="153">
        <v>17</v>
      </c>
      <c r="B37" s="157">
        <v>21135.69</v>
      </c>
      <c r="C37" s="155">
        <v>20024.22</v>
      </c>
      <c r="D37" s="156">
        <f t="shared" si="0"/>
        <v>1111.4699999999975</v>
      </c>
      <c r="E37" s="152">
        <f t="shared" si="1"/>
        <v>-8.2978666452546059E-3</v>
      </c>
    </row>
    <row r="38" spans="1:15" ht="15" x14ac:dyDescent="0.3">
      <c r="A38" s="153">
        <v>18</v>
      </c>
      <c r="B38" s="157">
        <v>20934.259999999998</v>
      </c>
      <c r="C38" s="155">
        <v>20035.13</v>
      </c>
      <c r="D38" s="156">
        <f t="shared" si="0"/>
        <v>899.12999999999738</v>
      </c>
      <c r="E38" s="152">
        <f t="shared" si="1"/>
        <v>-0.19775689927460785</v>
      </c>
    </row>
    <row r="39" spans="1:15" ht="15" x14ac:dyDescent="0.3">
      <c r="A39" s="153">
        <v>19</v>
      </c>
      <c r="B39" s="157">
        <v>21505.52</v>
      </c>
      <c r="C39" s="155">
        <v>20382.88</v>
      </c>
      <c r="D39" s="156">
        <f t="shared" si="0"/>
        <v>1122.6399999999994</v>
      </c>
      <c r="E39" s="152">
        <f t="shared" si="1"/>
        <v>1.6684957663034268E-3</v>
      </c>
    </row>
    <row r="40" spans="1:15" ht="14.25" customHeight="1" x14ac:dyDescent="0.3">
      <c r="A40" s="158">
        <v>20</v>
      </c>
      <c r="B40" s="159">
        <v>21388.48</v>
      </c>
      <c r="C40" s="160">
        <v>20235.97</v>
      </c>
      <c r="D40" s="161">
        <f t="shared" si="0"/>
        <v>1152.5099999999984</v>
      </c>
      <c r="E40" s="162">
        <f t="shared" si="1"/>
        <v>2.8319815840894106E-2</v>
      </c>
    </row>
    <row r="41" spans="1:15" ht="14.25" customHeight="1" x14ac:dyDescent="0.3">
      <c r="B41" s="140"/>
      <c r="D41" s="128"/>
      <c r="G41" s="121"/>
    </row>
    <row r="42" spans="1:15" x14ac:dyDescent="0.3">
      <c r="A42" s="163" t="s">
        <v>46</v>
      </c>
      <c r="B42" s="164">
        <f>SUM(B21:B40)</f>
        <v>425494.67</v>
      </c>
      <c r="C42" s="165">
        <f>SUM(C21:C40)</f>
        <v>403079.27</v>
      </c>
      <c r="D42" s="166">
        <f>SUM(D21:D40)</f>
        <v>22415.399999999991</v>
      </c>
    </row>
    <row r="43" spans="1:15" ht="15.75" customHeight="1" x14ac:dyDescent="0.3">
      <c r="A43" s="167" t="s">
        <v>47</v>
      </c>
      <c r="B43" s="168">
        <f>AVERAGE(B21:B40)</f>
        <v>21274.733499999998</v>
      </c>
      <c r="C43" s="169">
        <f>AVERAGE(C21:C40)</f>
        <v>20153.963500000002</v>
      </c>
      <c r="D43" s="170">
        <f>AVERAGE(D21:D40)</f>
        <v>1120.7699999999995</v>
      </c>
    </row>
    <row r="44" spans="1:15" x14ac:dyDescent="0.3">
      <c r="A44" s="134"/>
      <c r="B44" s="171"/>
      <c r="C44" s="171"/>
      <c r="D44" s="140"/>
    </row>
    <row r="45" spans="1:15" ht="14.25" customHeight="1" x14ac:dyDescent="0.3">
      <c r="A45" s="134"/>
      <c r="B45" s="134"/>
      <c r="C45" s="134"/>
      <c r="D45" s="140"/>
    </row>
    <row r="46" spans="1:15" ht="30.75" customHeight="1" x14ac:dyDescent="0.3">
      <c r="B46" s="172" t="s">
        <v>47</v>
      </c>
      <c r="C46" s="173" t="s">
        <v>48</v>
      </c>
    </row>
    <row r="47" spans="1:15" ht="15.75" customHeight="1" x14ac:dyDescent="0.3">
      <c r="B47" s="975">
        <f>D43</f>
        <v>1120.7699999999995</v>
      </c>
      <c r="C47" s="174">
        <f>-(IF(D43&gt;300, 7.5%, 10%))</f>
        <v>-7.4999999999999997E-2</v>
      </c>
      <c r="D47" s="175">
        <f>IF(D43&lt;300, D43*0.9, D43*0.925)</f>
        <v>1036.7122499999996</v>
      </c>
    </row>
    <row r="48" spans="1:15" ht="15.75" customHeight="1" x14ac:dyDescent="0.3">
      <c r="B48" s="976"/>
      <c r="C48" s="176">
        <f>+(IF(D43&gt;300, 7.5%, 10%))</f>
        <v>7.4999999999999997E-2</v>
      </c>
      <c r="D48" s="175">
        <f>IF(D43&lt;300, D43*1.1, D43*1.075)</f>
        <v>1204.8277499999995</v>
      </c>
    </row>
    <row r="49" spans="1:7" ht="14.25" customHeight="1" x14ac:dyDescent="0.3">
      <c r="A49" s="177"/>
      <c r="D49" s="178"/>
    </row>
    <row r="50" spans="1:7" ht="15" customHeight="1" x14ac:dyDescent="0.3">
      <c r="B50" s="969" t="s">
        <v>26</v>
      </c>
      <c r="C50" s="969"/>
      <c r="D50" s="140"/>
      <c r="E50" s="179" t="s">
        <v>27</v>
      </c>
      <c r="F50" s="180"/>
      <c r="G50" s="179" t="s">
        <v>28</v>
      </c>
    </row>
    <row r="51" spans="1:7" ht="15" customHeight="1" x14ac:dyDescent="0.3">
      <c r="A51" s="181" t="s">
        <v>29</v>
      </c>
      <c r="B51" s="182"/>
      <c r="C51" s="182"/>
      <c r="D51" s="140"/>
      <c r="E51" s="182"/>
      <c r="F51" s="134"/>
      <c r="G51" s="183"/>
    </row>
    <row r="52" spans="1:7" ht="15" customHeight="1" x14ac:dyDescent="0.3">
      <c r="A52" s="181" t="s">
        <v>30</v>
      </c>
      <c r="B52" s="184"/>
      <c r="C52" s="184"/>
      <c r="D52" s="140"/>
      <c r="E52" s="184"/>
      <c r="F52" s="134"/>
      <c r="G52" s="185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79" priority="1" operator="notBetween">
      <formula>IF(+$D$43&lt;300, -10.5%, -7.5%)</formula>
      <formula>IF(+$D$43&lt;300, 10.5%, 7.5%)</formula>
    </cfRule>
  </conditionalFormatting>
  <conditionalFormatting sqref="E22">
    <cfRule type="cellIs" dxfId="78" priority="2" operator="notBetween">
      <formula>IF(+$D$43&lt;300, -10.5%, -7.5%)</formula>
      <formula>IF(+$D$43&lt;300, 10.5%, 7.5%)</formula>
    </cfRule>
  </conditionalFormatting>
  <conditionalFormatting sqref="E23">
    <cfRule type="cellIs" dxfId="77" priority="3" operator="notBetween">
      <formula>IF(+$D$43&lt;300, -10.5%, -7.5%)</formula>
      <formula>IF(+$D$43&lt;300, 10.5%, 7.5%)</formula>
    </cfRule>
  </conditionalFormatting>
  <conditionalFormatting sqref="E24">
    <cfRule type="cellIs" dxfId="76" priority="4" operator="notBetween">
      <formula>IF(+$D$43&lt;300, -10.5%, -7.5%)</formula>
      <formula>IF(+$D$43&lt;300, 10.5%, 7.5%)</formula>
    </cfRule>
  </conditionalFormatting>
  <conditionalFormatting sqref="E25">
    <cfRule type="cellIs" dxfId="75" priority="5" operator="notBetween">
      <formula>IF(+$D$43&lt;300, -10.5%, -7.5%)</formula>
      <formula>IF(+$D$43&lt;300, 10.5%, 7.5%)</formula>
    </cfRule>
  </conditionalFormatting>
  <conditionalFormatting sqref="E26">
    <cfRule type="cellIs" dxfId="74" priority="6" operator="notBetween">
      <formula>IF(+$D$43&lt;300, -10.5%, -7.5%)</formula>
      <formula>IF(+$D$43&lt;300, 10.5%, 7.5%)</formula>
    </cfRule>
  </conditionalFormatting>
  <conditionalFormatting sqref="E27">
    <cfRule type="cellIs" dxfId="73" priority="7" operator="notBetween">
      <formula>IF(+$D$43&lt;300, -10.5%, -7.5%)</formula>
      <formula>IF(+$D$43&lt;300, 10.5%, 7.5%)</formula>
    </cfRule>
  </conditionalFormatting>
  <conditionalFormatting sqref="E28">
    <cfRule type="cellIs" dxfId="72" priority="8" operator="notBetween">
      <formula>IF(+$D$43&lt;300, -10.5%, -7.5%)</formula>
      <formula>IF(+$D$43&lt;300, 10.5%, 7.5%)</formula>
    </cfRule>
  </conditionalFormatting>
  <conditionalFormatting sqref="E29">
    <cfRule type="cellIs" dxfId="71" priority="9" operator="notBetween">
      <formula>IF(+$D$43&lt;300, -10.5%, -7.5%)</formula>
      <formula>IF(+$D$43&lt;300, 10.5%, 7.5%)</formula>
    </cfRule>
  </conditionalFormatting>
  <conditionalFormatting sqref="E30">
    <cfRule type="cellIs" dxfId="70" priority="10" operator="notBetween">
      <formula>IF(+$D$43&lt;300, -10.5%, -7.5%)</formula>
      <formula>IF(+$D$43&lt;300, 10.5%, 7.5%)</formula>
    </cfRule>
  </conditionalFormatting>
  <conditionalFormatting sqref="E31">
    <cfRule type="cellIs" dxfId="69" priority="11" operator="notBetween">
      <formula>IF(+$D$43&lt;300, -10.5%, -7.5%)</formula>
      <formula>IF(+$D$43&lt;300, 10.5%, 7.5%)</formula>
    </cfRule>
  </conditionalFormatting>
  <conditionalFormatting sqref="E32">
    <cfRule type="cellIs" dxfId="68" priority="12" operator="notBetween">
      <formula>IF(+$D$43&lt;300, -10.5%, -7.5%)</formula>
      <formula>IF(+$D$43&lt;300, 10.5%, 7.5%)</formula>
    </cfRule>
  </conditionalFormatting>
  <conditionalFormatting sqref="E33">
    <cfRule type="cellIs" dxfId="67" priority="13" operator="notBetween">
      <formula>IF(+$D$43&lt;300, -10.5%, -7.5%)</formula>
      <formula>IF(+$D$43&lt;300, 10.5%, 7.5%)</formula>
    </cfRule>
  </conditionalFormatting>
  <conditionalFormatting sqref="E34">
    <cfRule type="cellIs" dxfId="66" priority="14" operator="notBetween">
      <formula>IF(+$D$43&lt;300, -10.5%, -7.5%)</formula>
      <formula>IF(+$D$43&lt;300, 10.5%, 7.5%)</formula>
    </cfRule>
  </conditionalFormatting>
  <conditionalFormatting sqref="E35">
    <cfRule type="cellIs" dxfId="65" priority="15" operator="notBetween">
      <formula>IF(+$D$43&lt;300, -10.5%, -7.5%)</formula>
      <formula>IF(+$D$43&lt;300, 10.5%, 7.5%)</formula>
    </cfRule>
  </conditionalFormatting>
  <conditionalFormatting sqref="E36">
    <cfRule type="cellIs" dxfId="64" priority="16" operator="notBetween">
      <formula>IF(+$D$43&lt;300, -10.5%, -7.5%)</formula>
      <formula>IF(+$D$43&lt;300, 10.5%, 7.5%)</formula>
    </cfRule>
  </conditionalFormatting>
  <conditionalFormatting sqref="E37">
    <cfRule type="cellIs" dxfId="63" priority="17" operator="notBetween">
      <formula>IF(+$D$43&lt;300, -10.5%, -7.5%)</formula>
      <formula>IF(+$D$43&lt;300, 10.5%, 7.5%)</formula>
    </cfRule>
  </conditionalFormatting>
  <conditionalFormatting sqref="E38">
    <cfRule type="cellIs" dxfId="62" priority="18" operator="notBetween">
      <formula>IF(+$D$43&lt;300, -10.5%, -7.5%)</formula>
      <formula>IF(+$D$43&lt;300, 10.5%, 7.5%)</formula>
    </cfRule>
  </conditionalFormatting>
  <conditionalFormatting sqref="E39">
    <cfRule type="cellIs" dxfId="61" priority="19" operator="notBetween">
      <formula>IF(+$D$43&lt;300, -10.5%, -7.5%)</formula>
      <formula>IF(+$D$43&lt;300, 10.5%, 7.5%)</formula>
    </cfRule>
  </conditionalFormatting>
  <conditionalFormatting sqref="E40">
    <cfRule type="cellIs" dxfId="6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topLeftCell="A19" workbookViewId="0">
      <selection activeCell="I92" sqref="I92:I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186"/>
    </row>
    <row r="16" spans="1:8" ht="19.5" customHeight="1" x14ac:dyDescent="0.3">
      <c r="A16" s="978" t="s">
        <v>31</v>
      </c>
      <c r="B16" s="979"/>
      <c r="C16" s="979"/>
      <c r="D16" s="979"/>
      <c r="E16" s="979"/>
      <c r="F16" s="979"/>
      <c r="G16" s="979"/>
      <c r="H16" s="980"/>
    </row>
    <row r="17" spans="1:14" ht="20.25" customHeight="1" x14ac:dyDescent="0.25">
      <c r="A17" s="981" t="s">
        <v>50</v>
      </c>
      <c r="B17" s="981"/>
      <c r="C17" s="981"/>
      <c r="D17" s="981"/>
      <c r="E17" s="981"/>
      <c r="F17" s="981"/>
      <c r="G17" s="981"/>
      <c r="H17" s="981"/>
    </row>
    <row r="18" spans="1:14" ht="26.25" customHeight="1" x14ac:dyDescent="0.4">
      <c r="A18" s="188" t="s">
        <v>33</v>
      </c>
      <c r="B18" s="977" t="s">
        <v>5</v>
      </c>
      <c r="C18" s="977"/>
      <c r="D18" s="368"/>
      <c r="E18" s="189"/>
      <c r="F18" s="190"/>
      <c r="G18" s="190"/>
      <c r="H18" s="190"/>
    </row>
    <row r="19" spans="1:14" ht="26.25" customHeight="1" x14ac:dyDescent="0.4">
      <c r="A19" s="188" t="s">
        <v>34</v>
      </c>
      <c r="B19" s="191" t="s">
        <v>7</v>
      </c>
      <c r="C19" s="190">
        <v>1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35</v>
      </c>
      <c r="B20" s="982" t="s">
        <v>9</v>
      </c>
      <c r="C20" s="982"/>
      <c r="D20" s="190"/>
      <c r="E20" s="190"/>
      <c r="F20" s="190"/>
      <c r="G20" s="190"/>
      <c r="H20" s="190"/>
    </row>
    <row r="21" spans="1:14" ht="26.25" customHeight="1" x14ac:dyDescent="0.4">
      <c r="A21" s="188" t="s">
        <v>36</v>
      </c>
      <c r="B21" s="982" t="s">
        <v>11</v>
      </c>
      <c r="C21" s="982"/>
      <c r="D21" s="982"/>
      <c r="E21" s="982"/>
      <c r="F21" s="982"/>
      <c r="G21" s="982"/>
      <c r="H21" s="982"/>
      <c r="I21" s="192"/>
    </row>
    <row r="22" spans="1:14" ht="26.25" customHeight="1" x14ac:dyDescent="0.4">
      <c r="A22" s="188" t="s">
        <v>37</v>
      </c>
      <c r="B22" s="193" t="s">
        <v>12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38</v>
      </c>
      <c r="B23" s="193"/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1</v>
      </c>
      <c r="B25" s="194"/>
    </row>
    <row r="26" spans="1:14" ht="26.25" customHeight="1" x14ac:dyDescent="0.4">
      <c r="A26" s="196" t="s">
        <v>4</v>
      </c>
      <c r="B26" s="977"/>
      <c r="C26" s="977"/>
    </row>
    <row r="27" spans="1:14" ht="26.25" customHeight="1" x14ac:dyDescent="0.4">
      <c r="A27" s="197" t="s">
        <v>51</v>
      </c>
      <c r="B27" s="983"/>
      <c r="C27" s="983"/>
    </row>
    <row r="28" spans="1:14" ht="27" customHeight="1" x14ac:dyDescent="0.4">
      <c r="A28" s="197" t="s">
        <v>6</v>
      </c>
      <c r="B28" s="198"/>
    </row>
    <row r="29" spans="1:14" s="14" customFormat="1" ht="27" customHeight="1" x14ac:dyDescent="0.4">
      <c r="A29" s="197" t="s">
        <v>52</v>
      </c>
      <c r="B29" s="199"/>
      <c r="C29" s="984" t="s">
        <v>53</v>
      </c>
      <c r="D29" s="985"/>
      <c r="E29" s="985"/>
      <c r="F29" s="985"/>
      <c r="G29" s="986"/>
      <c r="I29" s="200"/>
      <c r="J29" s="200"/>
      <c r="K29" s="200"/>
      <c r="L29" s="200"/>
    </row>
    <row r="30" spans="1:14" s="14" customFormat="1" ht="19.5" customHeight="1" x14ac:dyDescent="0.3">
      <c r="A30" s="197" t="s">
        <v>54</v>
      </c>
      <c r="B30" s="201">
        <f>B28-B29</f>
        <v>0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14" customFormat="1" ht="27" customHeight="1" x14ac:dyDescent="0.4">
      <c r="A31" s="197" t="s">
        <v>55</v>
      </c>
      <c r="B31" s="204">
        <v>1</v>
      </c>
      <c r="C31" s="987" t="s">
        <v>56</v>
      </c>
      <c r="D31" s="988"/>
      <c r="E31" s="988"/>
      <c r="F31" s="988"/>
      <c r="G31" s="988"/>
      <c r="H31" s="989"/>
      <c r="I31" s="200"/>
      <c r="J31" s="200"/>
      <c r="K31" s="200"/>
      <c r="L31" s="200"/>
    </row>
    <row r="32" spans="1:14" s="14" customFormat="1" ht="27" customHeight="1" x14ac:dyDescent="0.4">
      <c r="A32" s="197" t="s">
        <v>57</v>
      </c>
      <c r="B32" s="204">
        <v>1</v>
      </c>
      <c r="C32" s="987" t="s">
        <v>58</v>
      </c>
      <c r="D32" s="988"/>
      <c r="E32" s="988"/>
      <c r="F32" s="988"/>
      <c r="G32" s="988"/>
      <c r="H32" s="989"/>
      <c r="I32" s="200"/>
      <c r="J32" s="200"/>
      <c r="K32" s="200"/>
      <c r="L32" s="205"/>
      <c r="M32" s="205"/>
      <c r="N32" s="206"/>
    </row>
    <row r="33" spans="1:14" s="14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14" customFormat="1" ht="18.75" x14ac:dyDescent="0.3">
      <c r="A34" s="197" t="s">
        <v>59</v>
      </c>
      <c r="B34" s="209">
        <f>B31/B32</f>
        <v>1</v>
      </c>
      <c r="C34" s="187" t="s">
        <v>60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14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14" customFormat="1" ht="27" customHeight="1" x14ac:dyDescent="0.4">
      <c r="A36" s="210" t="s">
        <v>61</v>
      </c>
      <c r="B36" s="211">
        <v>1</v>
      </c>
      <c r="C36" s="187"/>
      <c r="D36" s="990" t="s">
        <v>62</v>
      </c>
      <c r="E36" s="991"/>
      <c r="F36" s="990" t="s">
        <v>63</v>
      </c>
      <c r="G36" s="992"/>
      <c r="J36" s="200"/>
      <c r="K36" s="200"/>
      <c r="L36" s="205"/>
      <c r="M36" s="205"/>
      <c r="N36" s="206"/>
    </row>
    <row r="37" spans="1:14" s="14" customFormat="1" ht="27" customHeight="1" x14ac:dyDescent="0.4">
      <c r="A37" s="212" t="s">
        <v>64</v>
      </c>
      <c r="B37" s="213">
        <v>1</v>
      </c>
      <c r="C37" s="214" t="s">
        <v>65</v>
      </c>
      <c r="D37" s="215" t="s">
        <v>66</v>
      </c>
      <c r="E37" s="216" t="s">
        <v>67</v>
      </c>
      <c r="F37" s="215" t="s">
        <v>66</v>
      </c>
      <c r="G37" s="217" t="s">
        <v>67</v>
      </c>
      <c r="I37" s="218" t="s">
        <v>68</v>
      </c>
      <c r="J37" s="200"/>
      <c r="K37" s="200"/>
      <c r="L37" s="205"/>
      <c r="M37" s="205"/>
      <c r="N37" s="206"/>
    </row>
    <row r="38" spans="1:14" s="14" customFormat="1" ht="26.25" customHeight="1" x14ac:dyDescent="0.4">
      <c r="A38" s="212" t="s">
        <v>69</v>
      </c>
      <c r="B38" s="213">
        <v>1</v>
      </c>
      <c r="C38" s="219">
        <v>1</v>
      </c>
      <c r="D38" s="220"/>
      <c r="E38" s="221" t="str">
        <f>IF(ISBLANK(D38),"-",$D$48/$D$45*D38)</f>
        <v>-</v>
      </c>
      <c r="F38" s="220"/>
      <c r="G38" s="222" t="str">
        <f>IF(ISBLANK(F38),"-",$D$48/$F$45*F38)</f>
        <v>-</v>
      </c>
      <c r="I38" s="223"/>
      <c r="J38" s="200"/>
      <c r="K38" s="200"/>
      <c r="L38" s="205"/>
      <c r="M38" s="205"/>
      <c r="N38" s="206"/>
    </row>
    <row r="39" spans="1:14" s="14" customFormat="1" ht="26.25" customHeight="1" x14ac:dyDescent="0.4">
      <c r="A39" s="212" t="s">
        <v>70</v>
      </c>
      <c r="B39" s="213">
        <v>1</v>
      </c>
      <c r="C39" s="224">
        <v>2</v>
      </c>
      <c r="D39" s="225"/>
      <c r="E39" s="226" t="str">
        <f>IF(ISBLANK(D39),"-",$D$48/$D$45*D39)</f>
        <v>-</v>
      </c>
      <c r="F39" s="225"/>
      <c r="G39" s="227" t="str">
        <f>IF(ISBLANK(F39),"-",$D$48/$F$45*F39)</f>
        <v>-</v>
      </c>
      <c r="I39" s="993" t="e">
        <f>ABS((F43/D43*D42)-F42)/D42</f>
        <v>#DIV/0!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71</v>
      </c>
      <c r="B40" s="213">
        <v>1</v>
      </c>
      <c r="C40" s="224">
        <v>3</v>
      </c>
      <c r="D40" s="225"/>
      <c r="E40" s="226" t="str">
        <f>IF(ISBLANK(D40),"-",$D$48/$D$45*D40)</f>
        <v>-</v>
      </c>
      <c r="F40" s="225"/>
      <c r="G40" s="227" t="str">
        <f>IF(ISBLANK(F40),"-",$D$48/$F$45*F40)</f>
        <v>-</v>
      </c>
      <c r="I40" s="993"/>
      <c r="L40" s="205"/>
      <c r="M40" s="205"/>
      <c r="N40" s="228"/>
    </row>
    <row r="41" spans="1:14" ht="27" customHeight="1" x14ac:dyDescent="0.4">
      <c r="A41" s="212" t="s">
        <v>72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73</v>
      </c>
      <c r="B42" s="213">
        <v>1</v>
      </c>
      <c r="C42" s="234" t="s">
        <v>74</v>
      </c>
      <c r="D42" s="235" t="e">
        <f>AVERAGE(D38:D41)</f>
        <v>#DIV/0!</v>
      </c>
      <c r="E42" s="236" t="e">
        <f>AVERAGE(E38:E41)</f>
        <v>#DIV/0!</v>
      </c>
      <c r="F42" s="235" t="e">
        <f>AVERAGE(F38:F41)</f>
        <v>#DIV/0!</v>
      </c>
      <c r="G42" s="237" t="e">
        <f>AVERAGE(G38:G41)</f>
        <v>#DIV/0!</v>
      </c>
      <c r="H42" s="238"/>
    </row>
    <row r="43" spans="1:14" ht="26.25" customHeight="1" x14ac:dyDescent="0.4">
      <c r="A43" s="212" t="s">
        <v>75</v>
      </c>
      <c r="B43" s="213">
        <v>1</v>
      </c>
      <c r="C43" s="239" t="s">
        <v>76</v>
      </c>
      <c r="D43" s="240"/>
      <c r="E43" s="228"/>
      <c r="F43" s="240"/>
      <c r="H43" s="238"/>
    </row>
    <row r="44" spans="1:14" ht="26.25" customHeight="1" x14ac:dyDescent="0.4">
      <c r="A44" s="212" t="s">
        <v>77</v>
      </c>
      <c r="B44" s="213">
        <v>1</v>
      </c>
      <c r="C44" s="241" t="s">
        <v>78</v>
      </c>
      <c r="D44" s="242">
        <f>D43*$B$34</f>
        <v>0</v>
      </c>
      <c r="E44" s="243"/>
      <c r="F44" s="242">
        <f>F43*$B$34</f>
        <v>0</v>
      </c>
      <c r="H44" s="238"/>
    </row>
    <row r="45" spans="1:14" ht="19.5" customHeight="1" x14ac:dyDescent="0.3">
      <c r="A45" s="212" t="s">
        <v>79</v>
      </c>
      <c r="B45" s="244">
        <f>(B44/B43)*(B42/B41)*(B40/B39)*(B38/B37)*B36</f>
        <v>1</v>
      </c>
      <c r="C45" s="241" t="s">
        <v>80</v>
      </c>
      <c r="D45" s="245">
        <f>D44*$B$30/100</f>
        <v>0</v>
      </c>
      <c r="E45" s="246"/>
      <c r="F45" s="245">
        <f>F44*$B$30/100</f>
        <v>0</v>
      </c>
      <c r="H45" s="238"/>
    </row>
    <row r="46" spans="1:14" ht="19.5" customHeight="1" x14ac:dyDescent="0.3">
      <c r="A46" s="994" t="s">
        <v>81</v>
      </c>
      <c r="B46" s="995"/>
      <c r="C46" s="241" t="s">
        <v>82</v>
      </c>
      <c r="D46" s="247">
        <f>D45/$B$45</f>
        <v>0</v>
      </c>
      <c r="E46" s="248"/>
      <c r="F46" s="249">
        <f>F45/$B$45</f>
        <v>0</v>
      </c>
      <c r="H46" s="238"/>
    </row>
    <row r="47" spans="1:14" ht="27" customHeight="1" x14ac:dyDescent="0.4">
      <c r="A47" s="996"/>
      <c r="B47" s="997"/>
      <c r="C47" s="250" t="s">
        <v>83</v>
      </c>
      <c r="D47" s="251">
        <v>0.1</v>
      </c>
      <c r="E47" s="252"/>
      <c r="F47" s="248"/>
      <c r="H47" s="238"/>
    </row>
    <row r="48" spans="1:14" ht="18.75" x14ac:dyDescent="0.3">
      <c r="C48" s="253" t="s">
        <v>84</v>
      </c>
      <c r="D48" s="245">
        <f>D47*$B$45</f>
        <v>0.1</v>
      </c>
      <c r="F48" s="254"/>
      <c r="H48" s="238"/>
    </row>
    <row r="49" spans="1:12" ht="19.5" customHeight="1" x14ac:dyDescent="0.3">
      <c r="C49" s="255" t="s">
        <v>85</v>
      </c>
      <c r="D49" s="256">
        <f>D48/B34</f>
        <v>0.1</v>
      </c>
      <c r="F49" s="254"/>
      <c r="H49" s="238"/>
    </row>
    <row r="50" spans="1:12" ht="18.75" x14ac:dyDescent="0.3">
      <c r="C50" s="210" t="s">
        <v>86</v>
      </c>
      <c r="D50" s="257" t="e">
        <f>AVERAGE(E38:E41,G38:G41)</f>
        <v>#DIV/0!</v>
      </c>
      <c r="F50" s="258"/>
      <c r="H50" s="238"/>
    </row>
    <row r="51" spans="1:12" ht="18.75" x14ac:dyDescent="0.3">
      <c r="C51" s="212" t="s">
        <v>87</v>
      </c>
      <c r="D51" s="259" t="e">
        <f>STDEV(E38:E41,G38:G41)/D50</f>
        <v>#DIV/0!</v>
      </c>
      <c r="F51" s="258"/>
      <c r="H51" s="238"/>
    </row>
    <row r="52" spans="1:12" ht="19.5" customHeight="1" x14ac:dyDescent="0.3">
      <c r="C52" s="260" t="s">
        <v>20</v>
      </c>
      <c r="D52" s="261">
        <f>COUNT(E38:E41,G38:G41)</f>
        <v>0</v>
      </c>
      <c r="F52" s="258"/>
    </row>
    <row r="54" spans="1:12" ht="18.75" x14ac:dyDescent="0.3">
      <c r="A54" s="262" t="s">
        <v>1</v>
      </c>
      <c r="B54" s="263" t="s">
        <v>88</v>
      </c>
    </row>
    <row r="55" spans="1:12" ht="18.75" x14ac:dyDescent="0.3">
      <c r="A55" s="187" t="s">
        <v>89</v>
      </c>
      <c r="B55" s="264" t="str">
        <f>B21</f>
        <v>Imipenem 500mg &amp; Cilastatin 500mg per bottle</v>
      </c>
    </row>
    <row r="56" spans="1:12" ht="26.25" customHeight="1" x14ac:dyDescent="0.4">
      <c r="A56" s="265" t="s">
        <v>90</v>
      </c>
      <c r="B56" s="266"/>
      <c r="C56" s="187" t="str">
        <f>B20</f>
        <v>IMEPENEM USP, CILASTATIN</v>
      </c>
      <c r="H56" s="267"/>
    </row>
    <row r="57" spans="1:12" ht="18.75" x14ac:dyDescent="0.3">
      <c r="A57" s="264" t="s">
        <v>91</v>
      </c>
      <c r="B57" s="268"/>
      <c r="H57" s="267"/>
    </row>
    <row r="58" spans="1:12" ht="19.5" customHeight="1" x14ac:dyDescent="0.3">
      <c r="H58" s="267"/>
    </row>
    <row r="59" spans="1:12" s="14" customFormat="1" ht="27" customHeight="1" x14ac:dyDescent="0.4">
      <c r="A59" s="210" t="s">
        <v>92</v>
      </c>
      <c r="B59" s="211">
        <v>1</v>
      </c>
      <c r="C59" s="187"/>
      <c r="D59" s="269" t="s">
        <v>93</v>
      </c>
      <c r="E59" s="270" t="s">
        <v>65</v>
      </c>
      <c r="F59" s="270" t="s">
        <v>66</v>
      </c>
      <c r="G59" s="270" t="s">
        <v>94</v>
      </c>
      <c r="H59" s="214" t="s">
        <v>95</v>
      </c>
      <c r="L59" s="200"/>
    </row>
    <row r="60" spans="1:12" s="14" customFormat="1" ht="26.25" customHeight="1" x14ac:dyDescent="0.4">
      <c r="A60" s="212" t="s">
        <v>96</v>
      </c>
      <c r="B60" s="213">
        <v>1</v>
      </c>
      <c r="C60" s="998" t="s">
        <v>97</v>
      </c>
      <c r="D60" s="1001"/>
      <c r="E60" s="271">
        <v>1</v>
      </c>
      <c r="F60" s="272"/>
      <c r="G60" s="273" t="str">
        <f>IF(ISBLANK(F60),"-",(F60/$D$50*$D$47*$B$68)*($B$57/$D$60))</f>
        <v>-</v>
      </c>
      <c r="H60" s="274" t="str">
        <f t="shared" ref="H60:H71" si="0">IF(ISBLANK(F60),"-",G60/$B$56)</f>
        <v>-</v>
      </c>
      <c r="L60" s="200"/>
    </row>
    <row r="61" spans="1:12" s="14" customFormat="1" ht="26.25" customHeight="1" x14ac:dyDescent="0.4">
      <c r="A61" s="212" t="s">
        <v>98</v>
      </c>
      <c r="B61" s="213">
        <v>1</v>
      </c>
      <c r="C61" s="999"/>
      <c r="D61" s="1002"/>
      <c r="E61" s="275">
        <v>2</v>
      </c>
      <c r="F61" s="225"/>
      <c r="G61" s="276" t="str">
        <f>IF(ISBLANK(F61),"-",(F61/$D$50*$D$47*$B$68)*($B$57/$D$60))</f>
        <v>-</v>
      </c>
      <c r="H61" s="277" t="str">
        <f t="shared" si="0"/>
        <v>-</v>
      </c>
      <c r="L61" s="200"/>
    </row>
    <row r="62" spans="1:12" s="14" customFormat="1" ht="26.25" customHeight="1" x14ac:dyDescent="0.4">
      <c r="A62" s="212" t="s">
        <v>99</v>
      </c>
      <c r="B62" s="213">
        <v>1</v>
      </c>
      <c r="C62" s="999"/>
      <c r="D62" s="1002"/>
      <c r="E62" s="275">
        <v>3</v>
      </c>
      <c r="F62" s="278"/>
      <c r="G62" s="276" t="str">
        <f>IF(ISBLANK(F62),"-",(F62/$D$50*$D$47*$B$68)*($B$57/$D$60))</f>
        <v>-</v>
      </c>
      <c r="H62" s="277" t="str">
        <f t="shared" si="0"/>
        <v>-</v>
      </c>
      <c r="L62" s="200"/>
    </row>
    <row r="63" spans="1:12" ht="27" customHeight="1" x14ac:dyDescent="0.4">
      <c r="A63" s="212" t="s">
        <v>100</v>
      </c>
      <c r="B63" s="213">
        <v>1</v>
      </c>
      <c r="C63" s="1000"/>
      <c r="D63" s="1003"/>
      <c r="E63" s="279">
        <v>4</v>
      </c>
      <c r="F63" s="280"/>
      <c r="G63" s="276" t="str">
        <f>IF(ISBLANK(F63),"-",(F63/$D$50*$D$47*$B$68)*($B$57/$D$60))</f>
        <v>-</v>
      </c>
      <c r="H63" s="277" t="str">
        <f t="shared" si="0"/>
        <v>-</v>
      </c>
    </row>
    <row r="64" spans="1:12" ht="26.25" customHeight="1" x14ac:dyDescent="0.4">
      <c r="A64" s="212" t="s">
        <v>101</v>
      </c>
      <c r="B64" s="213">
        <v>1</v>
      </c>
      <c r="C64" s="998" t="s">
        <v>102</v>
      </c>
      <c r="D64" s="1001"/>
      <c r="E64" s="271">
        <v>1</v>
      </c>
      <c r="F64" s="272"/>
      <c r="G64" s="281" t="str">
        <f>IF(ISBLANK(F64),"-",(F64/$D$50*$D$47*$B$68)*($B$57/$D$64))</f>
        <v>-</v>
      </c>
      <c r="H64" s="282" t="str">
        <f t="shared" si="0"/>
        <v>-</v>
      </c>
    </row>
    <row r="65" spans="1:8" ht="26.25" customHeight="1" x14ac:dyDescent="0.4">
      <c r="A65" s="212" t="s">
        <v>103</v>
      </c>
      <c r="B65" s="213">
        <v>1</v>
      </c>
      <c r="C65" s="999"/>
      <c r="D65" s="1002"/>
      <c r="E65" s="275">
        <v>2</v>
      </c>
      <c r="F65" s="225"/>
      <c r="G65" s="283" t="str">
        <f>IF(ISBLANK(F65),"-",(F65/$D$50*$D$47*$B$68)*($B$57/$D$64))</f>
        <v>-</v>
      </c>
      <c r="H65" s="284" t="str">
        <f t="shared" si="0"/>
        <v>-</v>
      </c>
    </row>
    <row r="66" spans="1:8" ht="26.25" customHeight="1" x14ac:dyDescent="0.4">
      <c r="A66" s="212" t="s">
        <v>104</v>
      </c>
      <c r="B66" s="213">
        <v>1</v>
      </c>
      <c r="C66" s="999"/>
      <c r="D66" s="1002"/>
      <c r="E66" s="275">
        <v>3</v>
      </c>
      <c r="F66" s="225"/>
      <c r="G66" s="283" t="str">
        <f>IF(ISBLANK(F66),"-",(F66/$D$50*$D$47*$B$68)*($B$57/$D$64))</f>
        <v>-</v>
      </c>
      <c r="H66" s="284" t="str">
        <f t="shared" si="0"/>
        <v>-</v>
      </c>
    </row>
    <row r="67" spans="1:8" ht="27" customHeight="1" x14ac:dyDescent="0.4">
      <c r="A67" s="212" t="s">
        <v>105</v>
      </c>
      <c r="B67" s="213">
        <v>1</v>
      </c>
      <c r="C67" s="1000"/>
      <c r="D67" s="1003"/>
      <c r="E67" s="279">
        <v>4</v>
      </c>
      <c r="F67" s="280"/>
      <c r="G67" s="285" t="str">
        <f>IF(ISBLANK(F67),"-",(F67/$D$50*$D$47*$B$68)*($B$57/$D$64))</f>
        <v>-</v>
      </c>
      <c r="H67" s="286" t="str">
        <f t="shared" si="0"/>
        <v>-</v>
      </c>
    </row>
    <row r="68" spans="1:8" ht="26.25" customHeight="1" x14ac:dyDescent="0.4">
      <c r="A68" s="212" t="s">
        <v>106</v>
      </c>
      <c r="B68" s="287">
        <f>(B67/B66)*(B65/B64)*(B63/B62)*(B61/B60)*B59</f>
        <v>1</v>
      </c>
      <c r="C68" s="998" t="s">
        <v>107</v>
      </c>
      <c r="D68" s="1001"/>
      <c r="E68" s="271">
        <v>1</v>
      </c>
      <c r="F68" s="272"/>
      <c r="G68" s="281" t="str">
        <f>IF(ISBLANK(F68),"-",(F68/$D$50*$D$47*$B$68)*($B$57/$D$68))</f>
        <v>-</v>
      </c>
      <c r="H68" s="277" t="str">
        <f t="shared" si="0"/>
        <v>-</v>
      </c>
    </row>
    <row r="69" spans="1:8" ht="27" customHeight="1" x14ac:dyDescent="0.4">
      <c r="A69" s="260" t="s">
        <v>108</v>
      </c>
      <c r="B69" s="288" t="e">
        <f>(D47*B68)/B56*B57</f>
        <v>#DIV/0!</v>
      </c>
      <c r="C69" s="999"/>
      <c r="D69" s="1002"/>
      <c r="E69" s="275">
        <v>2</v>
      </c>
      <c r="F69" s="225"/>
      <c r="G69" s="283" t="str">
        <f>IF(ISBLANK(F69),"-",(F69/$D$50*$D$47*$B$68)*($B$57/$D$68))</f>
        <v>-</v>
      </c>
      <c r="H69" s="277" t="str">
        <f t="shared" si="0"/>
        <v>-</v>
      </c>
    </row>
    <row r="70" spans="1:8" ht="26.25" customHeight="1" x14ac:dyDescent="0.4">
      <c r="A70" s="1007" t="s">
        <v>81</v>
      </c>
      <c r="B70" s="1008"/>
      <c r="C70" s="999"/>
      <c r="D70" s="1002"/>
      <c r="E70" s="275">
        <v>3</v>
      </c>
      <c r="F70" s="225"/>
      <c r="G70" s="283" t="str">
        <f>IF(ISBLANK(F70),"-",(F70/$D$50*$D$47*$B$68)*($B$57/$D$68))</f>
        <v>-</v>
      </c>
      <c r="H70" s="277" t="str">
        <f t="shared" si="0"/>
        <v>-</v>
      </c>
    </row>
    <row r="71" spans="1:8" ht="27" customHeight="1" x14ac:dyDescent="0.4">
      <c r="A71" s="1009"/>
      <c r="B71" s="1010"/>
      <c r="C71" s="1006"/>
      <c r="D71" s="1003"/>
      <c r="E71" s="279">
        <v>4</v>
      </c>
      <c r="F71" s="280"/>
      <c r="G71" s="285" t="str">
        <f>IF(ISBLANK(F71),"-",(F71/$D$50*$D$47*$B$68)*($B$57/$D$68))</f>
        <v>-</v>
      </c>
      <c r="H71" s="289" t="str">
        <f t="shared" si="0"/>
        <v>-</v>
      </c>
    </row>
    <row r="72" spans="1:8" ht="26.25" customHeight="1" x14ac:dyDescent="0.4">
      <c r="A72" s="290"/>
      <c r="B72" s="290"/>
      <c r="C72" s="290"/>
      <c r="D72" s="290"/>
      <c r="E72" s="290"/>
      <c r="F72" s="291"/>
      <c r="G72" s="292" t="s">
        <v>74</v>
      </c>
      <c r="H72" s="293" t="e">
        <f>AVERAGE(H60:H71)</f>
        <v>#DIV/0!</v>
      </c>
    </row>
    <row r="73" spans="1:8" ht="26.25" customHeight="1" x14ac:dyDescent="0.4">
      <c r="C73" s="290"/>
      <c r="D73" s="290"/>
      <c r="E73" s="290"/>
      <c r="F73" s="291"/>
      <c r="G73" s="294" t="s">
        <v>87</v>
      </c>
      <c r="H73" s="295" t="e">
        <f>STDEV(H60:H71)/H72</f>
        <v>#DIV/0!</v>
      </c>
    </row>
    <row r="74" spans="1:8" ht="27" customHeight="1" x14ac:dyDescent="0.4">
      <c r="A74" s="290"/>
      <c r="B74" s="290"/>
      <c r="C74" s="291"/>
      <c r="D74" s="291"/>
      <c r="E74" s="296"/>
      <c r="F74" s="291"/>
      <c r="G74" s="297" t="s">
        <v>20</v>
      </c>
      <c r="H74" s="298">
        <f>COUNT(H60:H71)</f>
        <v>0</v>
      </c>
    </row>
    <row r="76" spans="1:8" ht="26.25" customHeight="1" x14ac:dyDescent="0.4">
      <c r="A76" s="196" t="s">
        <v>109</v>
      </c>
      <c r="B76" s="299" t="s">
        <v>110</v>
      </c>
      <c r="C76" s="1011" t="str">
        <f>B20</f>
        <v>IMEPENEM USP, CILASTATIN</v>
      </c>
      <c r="D76" s="1011"/>
      <c r="E76" s="300" t="s">
        <v>111</v>
      </c>
      <c r="F76" s="300"/>
      <c r="G76" s="301" t="e">
        <f>H72</f>
        <v>#DIV/0!</v>
      </c>
      <c r="H76" s="302"/>
    </row>
    <row r="77" spans="1:8" ht="18.75" x14ac:dyDescent="0.3">
      <c r="A77" s="195" t="s">
        <v>112</v>
      </c>
      <c r="B77" s="195" t="s">
        <v>113</v>
      </c>
    </row>
    <row r="78" spans="1:8" ht="18.75" x14ac:dyDescent="0.3">
      <c r="A78" s="195"/>
      <c r="B78" s="195"/>
    </row>
    <row r="79" spans="1:8" ht="26.25" customHeight="1" x14ac:dyDescent="0.4">
      <c r="A79" s="196" t="s">
        <v>4</v>
      </c>
      <c r="B79" s="1012">
        <f>B26</f>
        <v>0</v>
      </c>
      <c r="C79" s="1012"/>
    </row>
    <row r="80" spans="1:8" ht="26.25" customHeight="1" x14ac:dyDescent="0.4">
      <c r="A80" s="197" t="s">
        <v>51</v>
      </c>
      <c r="B80" s="1012">
        <f>B27</f>
        <v>0</v>
      </c>
      <c r="C80" s="1012"/>
    </row>
    <row r="81" spans="1:12" ht="27" customHeight="1" x14ac:dyDescent="0.4">
      <c r="A81" s="197" t="s">
        <v>6</v>
      </c>
      <c r="B81" s="303">
        <f>B28</f>
        <v>0</v>
      </c>
    </row>
    <row r="82" spans="1:12" s="14" customFormat="1" ht="27" customHeight="1" x14ac:dyDescent="0.4">
      <c r="A82" s="197" t="s">
        <v>52</v>
      </c>
      <c r="B82" s="199">
        <v>0</v>
      </c>
      <c r="C82" s="984" t="s">
        <v>53</v>
      </c>
      <c r="D82" s="985"/>
      <c r="E82" s="985"/>
      <c r="F82" s="985"/>
      <c r="G82" s="986"/>
      <c r="I82" s="200"/>
      <c r="J82" s="200"/>
      <c r="K82" s="200"/>
      <c r="L82" s="200"/>
    </row>
    <row r="83" spans="1:12" s="14" customFormat="1" ht="19.5" customHeight="1" x14ac:dyDescent="0.3">
      <c r="A83" s="197" t="s">
        <v>54</v>
      </c>
      <c r="B83" s="201">
        <f>B81-B82</f>
        <v>0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14" customFormat="1" ht="27" customHeight="1" x14ac:dyDescent="0.4">
      <c r="A84" s="197" t="s">
        <v>55</v>
      </c>
      <c r="B84" s="204">
        <v>1</v>
      </c>
      <c r="C84" s="987" t="s">
        <v>114</v>
      </c>
      <c r="D84" s="988"/>
      <c r="E84" s="988"/>
      <c r="F84" s="988"/>
      <c r="G84" s="988"/>
      <c r="H84" s="989"/>
      <c r="I84" s="200"/>
      <c r="J84" s="200"/>
      <c r="K84" s="200"/>
      <c r="L84" s="200"/>
    </row>
    <row r="85" spans="1:12" s="14" customFormat="1" ht="27" customHeight="1" x14ac:dyDescent="0.4">
      <c r="A85" s="197" t="s">
        <v>57</v>
      </c>
      <c r="B85" s="204">
        <v>1</v>
      </c>
      <c r="C85" s="987" t="s">
        <v>115</v>
      </c>
      <c r="D85" s="988"/>
      <c r="E85" s="988"/>
      <c r="F85" s="988"/>
      <c r="G85" s="988"/>
      <c r="H85" s="989"/>
      <c r="I85" s="200"/>
      <c r="J85" s="200"/>
      <c r="K85" s="200"/>
      <c r="L85" s="200"/>
    </row>
    <row r="86" spans="1:12" s="14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14" customFormat="1" ht="18.75" x14ac:dyDescent="0.3">
      <c r="A87" s="197" t="s">
        <v>59</v>
      </c>
      <c r="B87" s="209">
        <f>B84/B85</f>
        <v>1</v>
      </c>
      <c r="C87" s="187" t="s">
        <v>60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61</v>
      </c>
      <c r="B89" s="211">
        <v>1</v>
      </c>
      <c r="D89" s="304" t="s">
        <v>62</v>
      </c>
      <c r="E89" s="305"/>
      <c r="F89" s="990" t="s">
        <v>63</v>
      </c>
      <c r="G89" s="992"/>
    </row>
    <row r="90" spans="1:12" ht="27" customHeight="1" x14ac:dyDescent="0.4">
      <c r="A90" s="212" t="s">
        <v>64</v>
      </c>
      <c r="B90" s="213">
        <v>1</v>
      </c>
      <c r="C90" s="306" t="s">
        <v>65</v>
      </c>
      <c r="D90" s="215" t="s">
        <v>66</v>
      </c>
      <c r="E90" s="216" t="s">
        <v>67</v>
      </c>
      <c r="F90" s="215" t="s">
        <v>66</v>
      </c>
      <c r="G90" s="307" t="s">
        <v>67</v>
      </c>
      <c r="I90" s="218" t="s">
        <v>68</v>
      </c>
    </row>
    <row r="91" spans="1:12" ht="26.25" customHeight="1" x14ac:dyDescent="0.4">
      <c r="A91" s="212" t="s">
        <v>69</v>
      </c>
      <c r="B91" s="213">
        <v>1</v>
      </c>
      <c r="C91" s="308">
        <v>1</v>
      </c>
      <c r="D91" s="220"/>
      <c r="E91" s="221" t="str">
        <f>IF(ISBLANK(D91),"-",$D$101/$D$98*D91)</f>
        <v>-</v>
      </c>
      <c r="F91" s="220"/>
      <c r="G91" s="222" t="str">
        <f>IF(ISBLANK(F91),"-",$D$101/$F$98*F91)</f>
        <v>-</v>
      </c>
      <c r="I91" s="223"/>
    </row>
    <row r="92" spans="1:12" ht="26.25" customHeight="1" x14ac:dyDescent="0.4">
      <c r="A92" s="212" t="s">
        <v>70</v>
      </c>
      <c r="B92" s="213">
        <v>1</v>
      </c>
      <c r="C92" s="291">
        <v>2</v>
      </c>
      <c r="D92" s="225"/>
      <c r="E92" s="226" t="str">
        <f>IF(ISBLANK(D92),"-",$D$101/$D$98*D92)</f>
        <v>-</v>
      </c>
      <c r="F92" s="225"/>
      <c r="G92" s="227" t="str">
        <f>IF(ISBLANK(F92),"-",$D$101/$F$98*F92)</f>
        <v>-</v>
      </c>
      <c r="I92" s="993" t="e">
        <f>ABS((F96/D96*D95)-F95)/D95</f>
        <v>#DIV/0!</v>
      </c>
    </row>
    <row r="93" spans="1:12" ht="26.25" customHeight="1" x14ac:dyDescent="0.4">
      <c r="A93" s="212" t="s">
        <v>71</v>
      </c>
      <c r="B93" s="213">
        <v>1</v>
      </c>
      <c r="C93" s="291">
        <v>3</v>
      </c>
      <c r="D93" s="225"/>
      <c r="E93" s="226" t="str">
        <f>IF(ISBLANK(D93),"-",$D$101/$D$98*D93)</f>
        <v>-</v>
      </c>
      <c r="F93" s="225"/>
      <c r="G93" s="227" t="str">
        <f>IF(ISBLANK(F93),"-",$D$101/$F$98*F93)</f>
        <v>-</v>
      </c>
      <c r="I93" s="993"/>
    </row>
    <row r="94" spans="1:12" ht="27" customHeight="1" x14ac:dyDescent="0.4">
      <c r="A94" s="212" t="s">
        <v>72</v>
      </c>
      <c r="B94" s="213">
        <v>1</v>
      </c>
      <c r="C94" s="309">
        <v>4</v>
      </c>
      <c r="D94" s="230"/>
      <c r="E94" s="231" t="str">
        <f>IF(ISBLANK(D94),"-",$D$101/$D$98*D94)</f>
        <v>-</v>
      </c>
      <c r="F94" s="310"/>
      <c r="G94" s="232" t="str">
        <f>IF(ISBLANK(F94),"-",$D$101/$F$98*F94)</f>
        <v>-</v>
      </c>
      <c r="I94" s="233"/>
    </row>
    <row r="95" spans="1:12" ht="27" customHeight="1" x14ac:dyDescent="0.4">
      <c r="A95" s="212" t="s">
        <v>73</v>
      </c>
      <c r="B95" s="213">
        <v>1</v>
      </c>
      <c r="C95" s="311" t="s">
        <v>74</v>
      </c>
      <c r="D95" s="312" t="e">
        <f>AVERAGE(D91:D94)</f>
        <v>#DIV/0!</v>
      </c>
      <c r="E95" s="236" t="e">
        <f>AVERAGE(E91:E94)</f>
        <v>#DIV/0!</v>
      </c>
      <c r="F95" s="313" t="e">
        <f>AVERAGE(F91:F94)</f>
        <v>#DIV/0!</v>
      </c>
      <c r="G95" s="314" t="e">
        <f>AVERAGE(G91:G94)</f>
        <v>#DIV/0!</v>
      </c>
    </row>
    <row r="96" spans="1:12" ht="26.25" customHeight="1" x14ac:dyDescent="0.4">
      <c r="A96" s="212" t="s">
        <v>75</v>
      </c>
      <c r="B96" s="198">
        <v>1</v>
      </c>
      <c r="C96" s="315" t="s">
        <v>116</v>
      </c>
      <c r="D96" s="316"/>
      <c r="E96" s="228"/>
      <c r="F96" s="240"/>
    </row>
    <row r="97" spans="1:10" ht="26.25" customHeight="1" x14ac:dyDescent="0.4">
      <c r="A97" s="212" t="s">
        <v>77</v>
      </c>
      <c r="B97" s="198">
        <v>1</v>
      </c>
      <c r="C97" s="317" t="s">
        <v>117</v>
      </c>
      <c r="D97" s="318">
        <f>D96*$B$87</f>
        <v>0</v>
      </c>
      <c r="E97" s="243"/>
      <c r="F97" s="242">
        <f>F96*$B$87</f>
        <v>0</v>
      </c>
    </row>
    <row r="98" spans="1:10" ht="19.5" customHeight="1" x14ac:dyDescent="0.3">
      <c r="A98" s="212" t="s">
        <v>79</v>
      </c>
      <c r="B98" s="319">
        <f>(B97/B96)*(B95/B94)*(B93/B92)*(B91/B90)*B89</f>
        <v>1</v>
      </c>
      <c r="C98" s="317" t="s">
        <v>118</v>
      </c>
      <c r="D98" s="320">
        <f>D97*$B$83/100</f>
        <v>0</v>
      </c>
      <c r="E98" s="246"/>
      <c r="F98" s="245">
        <f>F97*$B$83/100</f>
        <v>0</v>
      </c>
    </row>
    <row r="99" spans="1:10" ht="19.5" customHeight="1" x14ac:dyDescent="0.3">
      <c r="A99" s="994" t="s">
        <v>81</v>
      </c>
      <c r="B99" s="1004"/>
      <c r="C99" s="317" t="s">
        <v>119</v>
      </c>
      <c r="D99" s="321">
        <f>D98/$B$98</f>
        <v>0</v>
      </c>
      <c r="E99" s="246"/>
      <c r="F99" s="249">
        <f>F98/$B$98</f>
        <v>0</v>
      </c>
      <c r="G99" s="322"/>
      <c r="H99" s="238"/>
    </row>
    <row r="100" spans="1:10" ht="19.5" customHeight="1" x14ac:dyDescent="0.3">
      <c r="A100" s="996"/>
      <c r="B100" s="1005"/>
      <c r="C100" s="317" t="s">
        <v>83</v>
      </c>
      <c r="D100" s="323">
        <f>$B$56/$B$116</f>
        <v>0</v>
      </c>
      <c r="F100" s="254"/>
      <c r="G100" s="324"/>
      <c r="H100" s="238"/>
    </row>
    <row r="101" spans="1:10" ht="18.75" x14ac:dyDescent="0.3">
      <c r="C101" s="317" t="s">
        <v>84</v>
      </c>
      <c r="D101" s="318">
        <f>D100*$B$98</f>
        <v>0</v>
      </c>
      <c r="F101" s="254"/>
      <c r="G101" s="322"/>
      <c r="H101" s="238"/>
    </row>
    <row r="102" spans="1:10" ht="19.5" customHeight="1" x14ac:dyDescent="0.3">
      <c r="C102" s="325" t="s">
        <v>85</v>
      </c>
      <c r="D102" s="326">
        <f>D101/B34</f>
        <v>0</v>
      </c>
      <c r="F102" s="258"/>
      <c r="G102" s="322"/>
      <c r="H102" s="238"/>
      <c r="J102" s="327"/>
    </row>
    <row r="103" spans="1:10" ht="18.75" x14ac:dyDescent="0.3">
      <c r="C103" s="328" t="s">
        <v>120</v>
      </c>
      <c r="D103" s="329" t="e">
        <f>AVERAGE(E91:E94,G91:G94)</f>
        <v>#DIV/0!</v>
      </c>
      <c r="F103" s="258"/>
      <c r="G103" s="330"/>
      <c r="H103" s="238"/>
      <c r="J103" s="331"/>
    </row>
    <row r="104" spans="1:10" ht="18.75" x14ac:dyDescent="0.3">
      <c r="C104" s="294" t="s">
        <v>87</v>
      </c>
      <c r="D104" s="332" t="e">
        <f>STDEV(E91:E94,G91:G94)/D103</f>
        <v>#DIV/0!</v>
      </c>
      <c r="F104" s="258"/>
      <c r="G104" s="322"/>
      <c r="H104" s="238"/>
      <c r="J104" s="331"/>
    </row>
    <row r="105" spans="1:10" ht="19.5" customHeight="1" x14ac:dyDescent="0.3">
      <c r="C105" s="297" t="s">
        <v>20</v>
      </c>
      <c r="D105" s="333">
        <f>COUNT(E91:E94,G91:G94)</f>
        <v>0</v>
      </c>
      <c r="F105" s="258"/>
      <c r="G105" s="322"/>
      <c r="H105" s="238"/>
      <c r="J105" s="331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121</v>
      </c>
      <c r="B107" s="211">
        <v>1</v>
      </c>
      <c r="C107" s="334" t="s">
        <v>41</v>
      </c>
      <c r="D107" s="335" t="s">
        <v>66</v>
      </c>
      <c r="E107" s="336" t="s">
        <v>122</v>
      </c>
      <c r="F107" s="337" t="s">
        <v>123</v>
      </c>
    </row>
    <row r="108" spans="1:10" ht="26.25" customHeight="1" x14ac:dyDescent="0.4">
      <c r="A108" s="212" t="s">
        <v>124</v>
      </c>
      <c r="B108" s="213">
        <v>1</v>
      </c>
      <c r="C108" s="338">
        <v>1</v>
      </c>
      <c r="D108" s="339"/>
      <c r="E108" s="340" t="str">
        <f t="shared" ref="E108:E113" si="1">IF(ISBLANK(D108),"-",D108/$D$103*$D$100*$B$116)</f>
        <v>-</v>
      </c>
      <c r="F108" s="341" t="str">
        <f t="shared" ref="F108:F113" si="2">IF(ISBLANK(D108), "-", E108/$B$56)</f>
        <v>-</v>
      </c>
    </row>
    <row r="109" spans="1:10" ht="26.25" customHeight="1" x14ac:dyDescent="0.4">
      <c r="A109" s="212" t="s">
        <v>98</v>
      </c>
      <c r="B109" s="213">
        <v>1</v>
      </c>
      <c r="C109" s="338">
        <v>2</v>
      </c>
      <c r="D109" s="339"/>
      <c r="E109" s="342" t="str">
        <f t="shared" si="1"/>
        <v>-</v>
      </c>
      <c r="F109" s="343" t="str">
        <f t="shared" si="2"/>
        <v>-</v>
      </c>
    </row>
    <row r="110" spans="1:10" ht="26.25" customHeight="1" x14ac:dyDescent="0.4">
      <c r="A110" s="212" t="s">
        <v>99</v>
      </c>
      <c r="B110" s="213">
        <v>1</v>
      </c>
      <c r="C110" s="338">
        <v>3</v>
      </c>
      <c r="D110" s="339"/>
      <c r="E110" s="342" t="str">
        <f t="shared" si="1"/>
        <v>-</v>
      </c>
      <c r="F110" s="343" t="str">
        <f t="shared" si="2"/>
        <v>-</v>
      </c>
    </row>
    <row r="111" spans="1:10" ht="26.25" customHeight="1" x14ac:dyDescent="0.4">
      <c r="A111" s="212" t="s">
        <v>100</v>
      </c>
      <c r="B111" s="213">
        <v>1</v>
      </c>
      <c r="C111" s="338">
        <v>4</v>
      </c>
      <c r="D111" s="339"/>
      <c r="E111" s="342" t="str">
        <f t="shared" si="1"/>
        <v>-</v>
      </c>
      <c r="F111" s="343" t="str">
        <f t="shared" si="2"/>
        <v>-</v>
      </c>
    </row>
    <row r="112" spans="1:10" ht="26.25" customHeight="1" x14ac:dyDescent="0.4">
      <c r="A112" s="212" t="s">
        <v>101</v>
      </c>
      <c r="B112" s="213">
        <v>1</v>
      </c>
      <c r="C112" s="338">
        <v>5</v>
      </c>
      <c r="D112" s="339"/>
      <c r="E112" s="342" t="str">
        <f t="shared" si="1"/>
        <v>-</v>
      </c>
      <c r="F112" s="343" t="str">
        <f t="shared" si="2"/>
        <v>-</v>
      </c>
    </row>
    <row r="113" spans="1:10" ht="26.25" customHeight="1" x14ac:dyDescent="0.4">
      <c r="A113" s="212" t="s">
        <v>103</v>
      </c>
      <c r="B113" s="213">
        <v>1</v>
      </c>
      <c r="C113" s="344">
        <v>6</v>
      </c>
      <c r="D113" s="345"/>
      <c r="E113" s="346" t="str">
        <f t="shared" si="1"/>
        <v>-</v>
      </c>
      <c r="F113" s="347" t="str">
        <f t="shared" si="2"/>
        <v>-</v>
      </c>
    </row>
    <row r="114" spans="1:10" ht="26.25" customHeight="1" x14ac:dyDescent="0.4">
      <c r="A114" s="212" t="s">
        <v>104</v>
      </c>
      <c r="B114" s="213">
        <v>1</v>
      </c>
      <c r="C114" s="338"/>
      <c r="D114" s="291"/>
      <c r="E114" s="186"/>
      <c r="F114" s="348"/>
    </row>
    <row r="115" spans="1:10" ht="26.25" customHeight="1" x14ac:dyDescent="0.4">
      <c r="A115" s="212" t="s">
        <v>105</v>
      </c>
      <c r="B115" s="213">
        <v>1</v>
      </c>
      <c r="C115" s="338"/>
      <c r="D115" s="349"/>
      <c r="E115" s="350" t="s">
        <v>74</v>
      </c>
      <c r="F115" s="351" t="e">
        <f>AVERAGE(F108:F113)</f>
        <v>#DIV/0!</v>
      </c>
    </row>
    <row r="116" spans="1:10" ht="27" customHeight="1" x14ac:dyDescent="0.4">
      <c r="A116" s="212" t="s">
        <v>106</v>
      </c>
      <c r="B116" s="244">
        <f>(B115/B114)*(B113/B112)*(B111/B110)*(B109/B108)*B107</f>
        <v>1</v>
      </c>
      <c r="C116" s="352"/>
      <c r="D116" s="353"/>
      <c r="E116" s="311" t="s">
        <v>87</v>
      </c>
      <c r="F116" s="354" t="e">
        <f>STDEV(F108:F113)/F115</f>
        <v>#DIV/0!</v>
      </c>
      <c r="I116" s="186"/>
    </row>
    <row r="117" spans="1:10" ht="27" customHeight="1" x14ac:dyDescent="0.4">
      <c r="A117" s="994" t="s">
        <v>81</v>
      </c>
      <c r="B117" s="995"/>
      <c r="C117" s="355"/>
      <c r="D117" s="356"/>
      <c r="E117" s="357" t="s">
        <v>20</v>
      </c>
      <c r="F117" s="358">
        <f>COUNT(F108:F113)</f>
        <v>0</v>
      </c>
      <c r="I117" s="186"/>
      <c r="J117" s="331"/>
    </row>
    <row r="118" spans="1:10" ht="19.5" customHeight="1" x14ac:dyDescent="0.3">
      <c r="A118" s="996"/>
      <c r="B118" s="997"/>
      <c r="C118" s="186"/>
      <c r="D118" s="186"/>
      <c r="E118" s="186"/>
      <c r="F118" s="291"/>
      <c r="G118" s="186"/>
      <c r="H118" s="186"/>
      <c r="I118" s="186"/>
    </row>
    <row r="119" spans="1:10" ht="18.75" x14ac:dyDescent="0.3">
      <c r="A119" s="367"/>
      <c r="B119" s="208"/>
      <c r="C119" s="186"/>
      <c r="D119" s="186"/>
      <c r="E119" s="186"/>
      <c r="F119" s="291"/>
      <c r="G119" s="186"/>
      <c r="H119" s="186"/>
      <c r="I119" s="186"/>
    </row>
    <row r="120" spans="1:10" ht="26.25" customHeight="1" x14ac:dyDescent="0.4">
      <c r="A120" s="196" t="s">
        <v>109</v>
      </c>
      <c r="B120" s="299" t="s">
        <v>125</v>
      </c>
      <c r="C120" s="1011" t="str">
        <f>B20</f>
        <v>IMEPENEM USP, CILASTATIN</v>
      </c>
      <c r="D120" s="1011"/>
      <c r="E120" s="300" t="s">
        <v>126</v>
      </c>
      <c r="F120" s="300"/>
      <c r="G120" s="301" t="e">
        <f>F115</f>
        <v>#DIV/0!</v>
      </c>
      <c r="H120" s="186"/>
      <c r="I120" s="186"/>
    </row>
    <row r="121" spans="1:10" ht="19.5" customHeight="1" x14ac:dyDescent="0.3">
      <c r="A121" s="359"/>
      <c r="B121" s="359"/>
      <c r="C121" s="360"/>
      <c r="D121" s="360"/>
      <c r="E121" s="360"/>
      <c r="F121" s="360"/>
      <c r="G121" s="360"/>
      <c r="H121" s="360"/>
    </row>
    <row r="122" spans="1:10" ht="18.75" x14ac:dyDescent="0.3">
      <c r="B122" s="1013" t="s">
        <v>26</v>
      </c>
      <c r="C122" s="1013"/>
      <c r="E122" s="306" t="s">
        <v>27</v>
      </c>
      <c r="F122" s="361"/>
      <c r="G122" s="1013" t="s">
        <v>28</v>
      </c>
      <c r="H122" s="1013"/>
    </row>
    <row r="123" spans="1:10" ht="18.75" x14ac:dyDescent="0.3">
      <c r="A123" s="362" t="s">
        <v>29</v>
      </c>
      <c r="B123" s="363"/>
      <c r="C123" s="363"/>
      <c r="E123" s="363"/>
      <c r="F123" s="186"/>
      <c r="G123" s="364"/>
      <c r="H123" s="364"/>
    </row>
    <row r="124" spans="1:10" ht="18.75" x14ac:dyDescent="0.3">
      <c r="A124" s="362" t="s">
        <v>30</v>
      </c>
      <c r="B124" s="365"/>
      <c r="C124" s="365"/>
      <c r="E124" s="365"/>
      <c r="F124" s="186"/>
      <c r="G124" s="366"/>
      <c r="H124" s="366"/>
    </row>
    <row r="125" spans="1:10" ht="18.75" x14ac:dyDescent="0.3">
      <c r="A125" s="290"/>
      <c r="B125" s="290"/>
      <c r="C125" s="291"/>
      <c r="D125" s="291"/>
      <c r="E125" s="291"/>
      <c r="F125" s="296"/>
      <c r="G125" s="291"/>
      <c r="H125" s="291"/>
      <c r="I125" s="186"/>
    </row>
    <row r="126" spans="1:10" ht="18.75" x14ac:dyDescent="0.3">
      <c r="A126" s="290"/>
      <c r="B126" s="290"/>
      <c r="C126" s="291"/>
      <c r="D126" s="291"/>
      <c r="E126" s="291"/>
      <c r="F126" s="296"/>
      <c r="G126" s="291"/>
      <c r="H126" s="291"/>
      <c r="I126" s="186"/>
    </row>
    <row r="127" spans="1:10" ht="18.75" x14ac:dyDescent="0.3">
      <c r="A127" s="290"/>
      <c r="B127" s="290"/>
      <c r="C127" s="291"/>
      <c r="D127" s="291"/>
      <c r="E127" s="291"/>
      <c r="F127" s="296"/>
      <c r="G127" s="291"/>
      <c r="H127" s="291"/>
      <c r="I127" s="186"/>
    </row>
    <row r="128" spans="1:10" ht="18.75" x14ac:dyDescent="0.3">
      <c r="A128" s="290"/>
      <c r="B128" s="290"/>
      <c r="C128" s="291"/>
      <c r="D128" s="291"/>
      <c r="E128" s="291"/>
      <c r="F128" s="296"/>
      <c r="G128" s="291"/>
      <c r="H128" s="291"/>
      <c r="I128" s="186"/>
    </row>
    <row r="129" spans="1:9" ht="18.75" x14ac:dyDescent="0.3">
      <c r="A129" s="290"/>
      <c r="B129" s="290"/>
      <c r="C129" s="291"/>
      <c r="D129" s="291"/>
      <c r="E129" s="291"/>
      <c r="F129" s="296"/>
      <c r="G129" s="291"/>
      <c r="H129" s="291"/>
      <c r="I129" s="186"/>
    </row>
    <row r="130" spans="1:9" ht="18.75" x14ac:dyDescent="0.3">
      <c r="A130" s="290"/>
      <c r="B130" s="290"/>
      <c r="C130" s="291"/>
      <c r="D130" s="291"/>
      <c r="E130" s="291"/>
      <c r="F130" s="296"/>
      <c r="G130" s="291"/>
      <c r="H130" s="291"/>
      <c r="I130" s="186"/>
    </row>
    <row r="131" spans="1:9" ht="18.75" x14ac:dyDescent="0.3">
      <c r="A131" s="290"/>
      <c r="B131" s="290"/>
      <c r="C131" s="291"/>
      <c r="D131" s="291"/>
      <c r="E131" s="291"/>
      <c r="F131" s="296"/>
      <c r="G131" s="291"/>
      <c r="H131" s="291"/>
      <c r="I131" s="186"/>
    </row>
    <row r="132" spans="1:9" ht="18.75" x14ac:dyDescent="0.3">
      <c r="A132" s="290"/>
      <c r="B132" s="290"/>
      <c r="C132" s="291"/>
      <c r="D132" s="291"/>
      <c r="E132" s="291"/>
      <c r="F132" s="296"/>
      <c r="G132" s="291"/>
      <c r="H132" s="291"/>
      <c r="I132" s="186"/>
    </row>
    <row r="133" spans="1:9" ht="18.75" x14ac:dyDescent="0.3">
      <c r="A133" s="290"/>
      <c r="B133" s="290"/>
      <c r="C133" s="291"/>
      <c r="D133" s="291"/>
      <c r="E133" s="291"/>
      <c r="F133" s="296"/>
      <c r="G133" s="291"/>
      <c r="H133" s="291"/>
      <c r="I133" s="186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59" priority="1" operator="greaterThan">
      <formula>0.02</formula>
    </cfRule>
  </conditionalFormatting>
  <conditionalFormatting sqref="D51">
    <cfRule type="cellIs" dxfId="58" priority="2" operator="greaterThan">
      <formula>0.02</formula>
    </cfRule>
  </conditionalFormatting>
  <conditionalFormatting sqref="H73">
    <cfRule type="cellIs" dxfId="57" priority="3" operator="greaterThan">
      <formula>0.02</formula>
    </cfRule>
  </conditionalFormatting>
  <conditionalFormatting sqref="D104">
    <cfRule type="cellIs" dxfId="56" priority="4" operator="greaterThan">
      <formula>0.02</formula>
    </cfRule>
  </conditionalFormatting>
  <conditionalFormatting sqref="I39">
    <cfRule type="cellIs" dxfId="55" priority="5" operator="lessThanOrEqual">
      <formula>0.02</formula>
    </cfRule>
  </conditionalFormatting>
  <conditionalFormatting sqref="I39">
    <cfRule type="cellIs" dxfId="54" priority="6" operator="greaterThan">
      <formula>0.02</formula>
    </cfRule>
  </conditionalFormatting>
  <conditionalFormatting sqref="I92">
    <cfRule type="cellIs" dxfId="53" priority="7" operator="lessThanOrEqual">
      <formula>0.02</formula>
    </cfRule>
  </conditionalFormatting>
  <conditionalFormatting sqref="I92">
    <cfRule type="cellIs" dxfId="52" priority="8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A28" workbookViewId="0">
      <selection activeCell="I92" sqref="I92:I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369"/>
    </row>
    <row r="16" spans="1:8" ht="19.5" customHeight="1" x14ac:dyDescent="0.3">
      <c r="A16" s="978" t="s">
        <v>31</v>
      </c>
      <c r="B16" s="979"/>
      <c r="C16" s="979"/>
      <c r="D16" s="979"/>
      <c r="E16" s="979"/>
      <c r="F16" s="979"/>
      <c r="G16" s="979"/>
      <c r="H16" s="980"/>
    </row>
    <row r="17" spans="1:14" ht="20.25" customHeight="1" x14ac:dyDescent="0.25">
      <c r="A17" s="981" t="s">
        <v>50</v>
      </c>
      <c r="B17" s="981"/>
      <c r="C17" s="981"/>
      <c r="D17" s="981"/>
      <c r="E17" s="981"/>
      <c r="F17" s="981"/>
      <c r="G17" s="981"/>
      <c r="H17" s="981"/>
    </row>
    <row r="18" spans="1:14" ht="26.25" customHeight="1" x14ac:dyDescent="0.4">
      <c r="A18" s="371" t="s">
        <v>33</v>
      </c>
      <c r="B18" s="977" t="s">
        <v>5</v>
      </c>
      <c r="C18" s="977"/>
      <c r="D18" s="551"/>
      <c r="E18" s="372"/>
      <c r="F18" s="373"/>
      <c r="G18" s="373"/>
      <c r="H18" s="373"/>
    </row>
    <row r="19" spans="1:14" ht="26.25" customHeight="1" x14ac:dyDescent="0.4">
      <c r="A19" s="371" t="s">
        <v>34</v>
      </c>
      <c r="B19" s="374" t="s">
        <v>7</v>
      </c>
      <c r="C19" s="373">
        <v>1</v>
      </c>
      <c r="D19" s="373"/>
      <c r="E19" s="373"/>
      <c r="F19" s="373"/>
      <c r="G19" s="373"/>
      <c r="H19" s="373"/>
    </row>
    <row r="20" spans="1:14" ht="26.25" customHeight="1" x14ac:dyDescent="0.4">
      <c r="A20" s="371" t="s">
        <v>35</v>
      </c>
      <c r="B20" s="982" t="s">
        <v>9</v>
      </c>
      <c r="C20" s="982"/>
      <c r="D20" s="373"/>
      <c r="E20" s="373"/>
      <c r="F20" s="373"/>
      <c r="G20" s="373"/>
      <c r="H20" s="373"/>
    </row>
    <row r="21" spans="1:14" ht="26.25" customHeight="1" x14ac:dyDescent="0.4">
      <c r="A21" s="371" t="s">
        <v>36</v>
      </c>
      <c r="B21" s="982" t="s">
        <v>11</v>
      </c>
      <c r="C21" s="982"/>
      <c r="D21" s="982"/>
      <c r="E21" s="982"/>
      <c r="F21" s="982"/>
      <c r="G21" s="982"/>
      <c r="H21" s="982"/>
      <c r="I21" s="375"/>
    </row>
    <row r="22" spans="1:14" ht="26.25" customHeight="1" x14ac:dyDescent="0.4">
      <c r="A22" s="371" t="s">
        <v>37</v>
      </c>
      <c r="B22" s="376" t="s">
        <v>12</v>
      </c>
      <c r="C22" s="373"/>
      <c r="D22" s="373"/>
      <c r="E22" s="373"/>
      <c r="F22" s="373"/>
      <c r="G22" s="373"/>
      <c r="H22" s="373"/>
    </row>
    <row r="23" spans="1:14" ht="26.25" customHeight="1" x14ac:dyDescent="0.4">
      <c r="A23" s="371" t="s">
        <v>38</v>
      </c>
      <c r="B23" s="376"/>
      <c r="C23" s="373"/>
      <c r="D23" s="373"/>
      <c r="E23" s="373"/>
      <c r="F23" s="373"/>
      <c r="G23" s="373"/>
      <c r="H23" s="373"/>
    </row>
    <row r="24" spans="1:14" ht="18.75" x14ac:dyDescent="0.3">
      <c r="A24" s="371"/>
      <c r="B24" s="377"/>
    </row>
    <row r="25" spans="1:14" ht="18.75" x14ac:dyDescent="0.3">
      <c r="A25" s="378" t="s">
        <v>1</v>
      </c>
      <c r="B25" s="377"/>
    </row>
    <row r="26" spans="1:14" ht="26.25" customHeight="1" x14ac:dyDescent="0.4">
      <c r="A26" s="379" t="s">
        <v>4</v>
      </c>
      <c r="B26" s="977"/>
      <c r="C26" s="977"/>
    </row>
    <row r="27" spans="1:14" ht="26.25" customHeight="1" x14ac:dyDescent="0.4">
      <c r="A27" s="380" t="s">
        <v>51</v>
      </c>
      <c r="B27" s="983"/>
      <c r="C27" s="983"/>
    </row>
    <row r="28" spans="1:14" ht="27" customHeight="1" x14ac:dyDescent="0.4">
      <c r="A28" s="380" t="s">
        <v>6</v>
      </c>
      <c r="B28" s="381"/>
    </row>
    <row r="29" spans="1:14" s="14" customFormat="1" ht="27" customHeight="1" x14ac:dyDescent="0.4">
      <c r="A29" s="380" t="s">
        <v>52</v>
      </c>
      <c r="B29" s="382"/>
      <c r="C29" s="984" t="s">
        <v>53</v>
      </c>
      <c r="D29" s="985"/>
      <c r="E29" s="985"/>
      <c r="F29" s="985"/>
      <c r="G29" s="986"/>
      <c r="I29" s="383"/>
      <c r="J29" s="383"/>
      <c r="K29" s="383"/>
      <c r="L29" s="383"/>
    </row>
    <row r="30" spans="1:14" s="14" customFormat="1" ht="19.5" customHeight="1" x14ac:dyDescent="0.3">
      <c r="A30" s="380" t="s">
        <v>54</v>
      </c>
      <c r="B30" s="384">
        <f>B28-B29</f>
        <v>0</v>
      </c>
      <c r="C30" s="385"/>
      <c r="D30" s="385"/>
      <c r="E30" s="385"/>
      <c r="F30" s="385"/>
      <c r="G30" s="386"/>
      <c r="I30" s="383"/>
      <c r="J30" s="383"/>
      <c r="K30" s="383"/>
      <c r="L30" s="383"/>
    </row>
    <row r="31" spans="1:14" s="14" customFormat="1" ht="27" customHeight="1" x14ac:dyDescent="0.4">
      <c r="A31" s="380" t="s">
        <v>55</v>
      </c>
      <c r="B31" s="387">
        <v>1</v>
      </c>
      <c r="C31" s="987" t="s">
        <v>56</v>
      </c>
      <c r="D31" s="988"/>
      <c r="E31" s="988"/>
      <c r="F31" s="988"/>
      <c r="G31" s="988"/>
      <c r="H31" s="989"/>
      <c r="I31" s="383"/>
      <c r="J31" s="383"/>
      <c r="K31" s="383"/>
      <c r="L31" s="383"/>
    </row>
    <row r="32" spans="1:14" s="14" customFormat="1" ht="27" customHeight="1" x14ac:dyDescent="0.4">
      <c r="A32" s="380" t="s">
        <v>57</v>
      </c>
      <c r="B32" s="387">
        <v>1</v>
      </c>
      <c r="C32" s="987" t="s">
        <v>58</v>
      </c>
      <c r="D32" s="988"/>
      <c r="E32" s="988"/>
      <c r="F32" s="988"/>
      <c r="G32" s="988"/>
      <c r="H32" s="989"/>
      <c r="I32" s="383"/>
      <c r="J32" s="383"/>
      <c r="K32" s="383"/>
      <c r="L32" s="388"/>
      <c r="M32" s="388"/>
      <c r="N32" s="389"/>
    </row>
    <row r="33" spans="1:14" s="14" customFormat="1" ht="17.25" customHeight="1" x14ac:dyDescent="0.3">
      <c r="A33" s="380"/>
      <c r="B33" s="390"/>
      <c r="C33" s="391"/>
      <c r="D33" s="391"/>
      <c r="E33" s="391"/>
      <c r="F33" s="391"/>
      <c r="G33" s="391"/>
      <c r="H33" s="391"/>
      <c r="I33" s="383"/>
      <c r="J33" s="383"/>
      <c r="K33" s="383"/>
      <c r="L33" s="388"/>
      <c r="M33" s="388"/>
      <c r="N33" s="389"/>
    </row>
    <row r="34" spans="1:14" s="14" customFormat="1" ht="18.75" x14ac:dyDescent="0.3">
      <c r="A34" s="380" t="s">
        <v>59</v>
      </c>
      <c r="B34" s="392">
        <f>B31/B32</f>
        <v>1</v>
      </c>
      <c r="C34" s="370" t="s">
        <v>60</v>
      </c>
      <c r="D34" s="370"/>
      <c r="E34" s="370"/>
      <c r="F34" s="370"/>
      <c r="G34" s="370"/>
      <c r="I34" s="383"/>
      <c r="J34" s="383"/>
      <c r="K34" s="383"/>
      <c r="L34" s="388"/>
      <c r="M34" s="388"/>
      <c r="N34" s="389"/>
    </row>
    <row r="35" spans="1:14" s="14" customFormat="1" ht="19.5" customHeight="1" x14ac:dyDescent="0.3">
      <c r="A35" s="380"/>
      <c r="B35" s="384"/>
      <c r="G35" s="370"/>
      <c r="I35" s="383"/>
      <c r="J35" s="383"/>
      <c r="K35" s="383"/>
      <c r="L35" s="388"/>
      <c r="M35" s="388"/>
      <c r="N35" s="389"/>
    </row>
    <row r="36" spans="1:14" s="14" customFormat="1" ht="27" customHeight="1" x14ac:dyDescent="0.4">
      <c r="A36" s="393" t="s">
        <v>61</v>
      </c>
      <c r="B36" s="394">
        <v>1</v>
      </c>
      <c r="C36" s="370"/>
      <c r="D36" s="990" t="s">
        <v>62</v>
      </c>
      <c r="E36" s="991"/>
      <c r="F36" s="990" t="s">
        <v>63</v>
      </c>
      <c r="G36" s="992"/>
      <c r="J36" s="383"/>
      <c r="K36" s="383"/>
      <c r="L36" s="388"/>
      <c r="M36" s="388"/>
      <c r="N36" s="389"/>
    </row>
    <row r="37" spans="1:14" s="14" customFormat="1" ht="27" customHeight="1" x14ac:dyDescent="0.4">
      <c r="A37" s="395" t="s">
        <v>64</v>
      </c>
      <c r="B37" s="396">
        <v>1</v>
      </c>
      <c r="C37" s="397" t="s">
        <v>65</v>
      </c>
      <c r="D37" s="398" t="s">
        <v>66</v>
      </c>
      <c r="E37" s="399" t="s">
        <v>67</v>
      </c>
      <c r="F37" s="398" t="s">
        <v>66</v>
      </c>
      <c r="G37" s="400" t="s">
        <v>67</v>
      </c>
      <c r="I37" s="401" t="s">
        <v>68</v>
      </c>
      <c r="J37" s="383"/>
      <c r="K37" s="383"/>
      <c r="L37" s="388"/>
      <c r="M37" s="388"/>
      <c r="N37" s="389"/>
    </row>
    <row r="38" spans="1:14" s="14" customFormat="1" ht="26.25" customHeight="1" x14ac:dyDescent="0.4">
      <c r="A38" s="395" t="s">
        <v>69</v>
      </c>
      <c r="B38" s="396">
        <v>1</v>
      </c>
      <c r="C38" s="402">
        <v>1</v>
      </c>
      <c r="D38" s="403"/>
      <c r="E38" s="404" t="str">
        <f>IF(ISBLANK(D38),"-",$D$48/$D$45*D38)</f>
        <v>-</v>
      </c>
      <c r="F38" s="403"/>
      <c r="G38" s="405" t="str">
        <f>IF(ISBLANK(F38),"-",$D$48/$F$45*F38)</f>
        <v>-</v>
      </c>
      <c r="I38" s="406"/>
      <c r="J38" s="383"/>
      <c r="K38" s="383"/>
      <c r="L38" s="388"/>
      <c r="M38" s="388"/>
      <c r="N38" s="389"/>
    </row>
    <row r="39" spans="1:14" s="14" customFormat="1" ht="26.25" customHeight="1" x14ac:dyDescent="0.4">
      <c r="A39" s="395" t="s">
        <v>70</v>
      </c>
      <c r="B39" s="396">
        <v>1</v>
      </c>
      <c r="C39" s="407">
        <v>2</v>
      </c>
      <c r="D39" s="408"/>
      <c r="E39" s="409" t="str">
        <f>IF(ISBLANK(D39),"-",$D$48/$D$45*D39)</f>
        <v>-</v>
      </c>
      <c r="F39" s="408"/>
      <c r="G39" s="410" t="str">
        <f>IF(ISBLANK(F39),"-",$D$48/$F$45*F39)</f>
        <v>-</v>
      </c>
      <c r="I39" s="993" t="e">
        <f>ABS((F43/D43*D42)-F42)/D42</f>
        <v>#DIV/0!</v>
      </c>
      <c r="J39" s="383"/>
      <c r="K39" s="383"/>
      <c r="L39" s="388"/>
      <c r="M39" s="388"/>
      <c r="N39" s="389"/>
    </row>
    <row r="40" spans="1:14" ht="26.25" customHeight="1" x14ac:dyDescent="0.4">
      <c r="A40" s="395" t="s">
        <v>71</v>
      </c>
      <c r="B40" s="396">
        <v>1</v>
      </c>
      <c r="C40" s="407">
        <v>3</v>
      </c>
      <c r="D40" s="408"/>
      <c r="E40" s="409" t="str">
        <f>IF(ISBLANK(D40),"-",$D$48/$D$45*D40)</f>
        <v>-</v>
      </c>
      <c r="F40" s="408"/>
      <c r="G40" s="410" t="str">
        <f>IF(ISBLANK(F40),"-",$D$48/$F$45*F40)</f>
        <v>-</v>
      </c>
      <c r="I40" s="993"/>
      <c r="L40" s="388"/>
      <c r="M40" s="388"/>
      <c r="N40" s="411"/>
    </row>
    <row r="41" spans="1:14" ht="27" customHeight="1" x14ac:dyDescent="0.4">
      <c r="A41" s="395" t="s">
        <v>72</v>
      </c>
      <c r="B41" s="396">
        <v>1</v>
      </c>
      <c r="C41" s="412">
        <v>4</v>
      </c>
      <c r="D41" s="413"/>
      <c r="E41" s="414" t="str">
        <f>IF(ISBLANK(D41),"-",$D$48/$D$45*D41)</f>
        <v>-</v>
      </c>
      <c r="F41" s="413"/>
      <c r="G41" s="415" t="str">
        <f>IF(ISBLANK(F41),"-",$D$48/$F$45*F41)</f>
        <v>-</v>
      </c>
      <c r="I41" s="416"/>
      <c r="L41" s="388"/>
      <c r="M41" s="388"/>
      <c r="N41" s="411"/>
    </row>
    <row r="42" spans="1:14" ht="27" customHeight="1" x14ac:dyDescent="0.4">
      <c r="A42" s="395" t="s">
        <v>73</v>
      </c>
      <c r="B42" s="396">
        <v>1</v>
      </c>
      <c r="C42" s="417" t="s">
        <v>74</v>
      </c>
      <c r="D42" s="418" t="e">
        <f>AVERAGE(D38:D41)</f>
        <v>#DIV/0!</v>
      </c>
      <c r="E42" s="419" t="e">
        <f>AVERAGE(E38:E41)</f>
        <v>#DIV/0!</v>
      </c>
      <c r="F42" s="418" t="e">
        <f>AVERAGE(F38:F41)</f>
        <v>#DIV/0!</v>
      </c>
      <c r="G42" s="420" t="e">
        <f>AVERAGE(G38:G41)</f>
        <v>#DIV/0!</v>
      </c>
      <c r="H42" s="421"/>
    </row>
    <row r="43" spans="1:14" ht="26.25" customHeight="1" x14ac:dyDescent="0.4">
      <c r="A43" s="395" t="s">
        <v>75</v>
      </c>
      <c r="B43" s="396">
        <v>1</v>
      </c>
      <c r="C43" s="422" t="s">
        <v>76</v>
      </c>
      <c r="D43" s="423"/>
      <c r="E43" s="411"/>
      <c r="F43" s="423"/>
      <c r="H43" s="421"/>
    </row>
    <row r="44" spans="1:14" ht="26.25" customHeight="1" x14ac:dyDescent="0.4">
      <c r="A44" s="395" t="s">
        <v>77</v>
      </c>
      <c r="B44" s="396">
        <v>1</v>
      </c>
      <c r="C44" s="424" t="s">
        <v>78</v>
      </c>
      <c r="D44" s="425">
        <f>D43*$B$34</f>
        <v>0</v>
      </c>
      <c r="E44" s="426"/>
      <c r="F44" s="425">
        <f>F43*$B$34</f>
        <v>0</v>
      </c>
      <c r="H44" s="421"/>
    </row>
    <row r="45" spans="1:14" ht="19.5" customHeight="1" x14ac:dyDescent="0.3">
      <c r="A45" s="395" t="s">
        <v>79</v>
      </c>
      <c r="B45" s="427">
        <f>(B44/B43)*(B42/B41)*(B40/B39)*(B38/B37)*B36</f>
        <v>1</v>
      </c>
      <c r="C45" s="424" t="s">
        <v>80</v>
      </c>
      <c r="D45" s="428">
        <f>D44*$B$30/100</f>
        <v>0</v>
      </c>
      <c r="E45" s="429"/>
      <c r="F45" s="428">
        <f>F44*$B$30/100</f>
        <v>0</v>
      </c>
      <c r="H45" s="421"/>
    </row>
    <row r="46" spans="1:14" ht="19.5" customHeight="1" x14ac:dyDescent="0.3">
      <c r="A46" s="994" t="s">
        <v>81</v>
      </c>
      <c r="B46" s="995"/>
      <c r="C46" s="424" t="s">
        <v>82</v>
      </c>
      <c r="D46" s="430">
        <f>D45/$B$45</f>
        <v>0</v>
      </c>
      <c r="E46" s="431"/>
      <c r="F46" s="432">
        <f>F45/$B$45</f>
        <v>0</v>
      </c>
      <c r="H46" s="421"/>
    </row>
    <row r="47" spans="1:14" ht="27" customHeight="1" x14ac:dyDescent="0.4">
      <c r="A47" s="996"/>
      <c r="B47" s="997"/>
      <c r="C47" s="433" t="s">
        <v>83</v>
      </c>
      <c r="D47" s="434">
        <v>0.1</v>
      </c>
      <c r="E47" s="435"/>
      <c r="F47" s="431"/>
      <c r="H47" s="421"/>
    </row>
    <row r="48" spans="1:14" ht="18.75" x14ac:dyDescent="0.3">
      <c r="C48" s="436" t="s">
        <v>84</v>
      </c>
      <c r="D48" s="428">
        <f>D47*$B$45</f>
        <v>0.1</v>
      </c>
      <c r="F48" s="437"/>
      <c r="H48" s="421"/>
    </row>
    <row r="49" spans="1:12" ht="19.5" customHeight="1" x14ac:dyDescent="0.3">
      <c r="C49" s="438" t="s">
        <v>85</v>
      </c>
      <c r="D49" s="439">
        <f>D48/B34</f>
        <v>0.1</v>
      </c>
      <c r="F49" s="437"/>
      <c r="H49" s="421"/>
    </row>
    <row r="50" spans="1:12" ht="18.75" x14ac:dyDescent="0.3">
      <c r="C50" s="393" t="s">
        <v>86</v>
      </c>
      <c r="D50" s="440" t="e">
        <f>AVERAGE(E38:E41,G38:G41)</f>
        <v>#DIV/0!</v>
      </c>
      <c r="F50" s="441"/>
      <c r="H50" s="421"/>
    </row>
    <row r="51" spans="1:12" ht="18.75" x14ac:dyDescent="0.3">
      <c r="C51" s="395" t="s">
        <v>87</v>
      </c>
      <c r="D51" s="442" t="e">
        <f>STDEV(E38:E41,G38:G41)/D50</f>
        <v>#DIV/0!</v>
      </c>
      <c r="F51" s="441"/>
      <c r="H51" s="421"/>
    </row>
    <row r="52" spans="1:12" ht="19.5" customHeight="1" x14ac:dyDescent="0.3">
      <c r="C52" s="443" t="s">
        <v>20</v>
      </c>
      <c r="D52" s="444">
        <f>COUNT(E38:E41,G38:G41)</f>
        <v>0</v>
      </c>
      <c r="F52" s="441"/>
    </row>
    <row r="54" spans="1:12" ht="18.75" x14ac:dyDescent="0.3">
      <c r="A54" s="445" t="s">
        <v>1</v>
      </c>
      <c r="B54" s="446" t="s">
        <v>88</v>
      </c>
    </row>
    <row r="55" spans="1:12" ht="18.75" x14ac:dyDescent="0.3">
      <c r="A55" s="370" t="s">
        <v>89</v>
      </c>
      <c r="B55" s="447" t="str">
        <f>B21</f>
        <v>Imipenem 500mg &amp; Cilastatin 500mg per bottle</v>
      </c>
    </row>
    <row r="56" spans="1:12" ht="26.25" customHeight="1" x14ac:dyDescent="0.4">
      <c r="A56" s="448" t="s">
        <v>90</v>
      </c>
      <c r="B56" s="449"/>
      <c r="C56" s="370" t="str">
        <f>B20</f>
        <v>IMEPENEM USP, CILASTATIN</v>
      </c>
      <c r="H56" s="450"/>
    </row>
    <row r="57" spans="1:12" ht="18.75" x14ac:dyDescent="0.3">
      <c r="A57" s="447" t="s">
        <v>91</v>
      </c>
      <c r="B57" s="451"/>
      <c r="H57" s="450"/>
    </row>
    <row r="58" spans="1:12" ht="19.5" customHeight="1" x14ac:dyDescent="0.3">
      <c r="H58" s="450"/>
    </row>
    <row r="59" spans="1:12" s="14" customFormat="1" ht="27" customHeight="1" x14ac:dyDescent="0.4">
      <c r="A59" s="393" t="s">
        <v>92</v>
      </c>
      <c r="B59" s="394">
        <v>1</v>
      </c>
      <c r="C59" s="370"/>
      <c r="D59" s="452" t="s">
        <v>93</v>
      </c>
      <c r="E59" s="453" t="s">
        <v>65</v>
      </c>
      <c r="F59" s="453" t="s">
        <v>66</v>
      </c>
      <c r="G59" s="453" t="s">
        <v>94</v>
      </c>
      <c r="H59" s="397" t="s">
        <v>95</v>
      </c>
      <c r="L59" s="383"/>
    </row>
    <row r="60" spans="1:12" s="14" customFormat="1" ht="26.25" customHeight="1" x14ac:dyDescent="0.4">
      <c r="A60" s="395" t="s">
        <v>96</v>
      </c>
      <c r="B60" s="396">
        <v>1</v>
      </c>
      <c r="C60" s="998" t="s">
        <v>97</v>
      </c>
      <c r="D60" s="1001"/>
      <c r="E60" s="454">
        <v>1</v>
      </c>
      <c r="F60" s="455"/>
      <c r="G60" s="456" t="str">
        <f>IF(ISBLANK(F60),"-",(F60/$D$50*$D$47*$B$68)*($B$57/$D$60))</f>
        <v>-</v>
      </c>
      <c r="H60" s="457" t="str">
        <f t="shared" ref="H60:H71" si="0">IF(ISBLANK(F60),"-",G60/$B$56)</f>
        <v>-</v>
      </c>
      <c r="L60" s="383"/>
    </row>
    <row r="61" spans="1:12" s="14" customFormat="1" ht="26.25" customHeight="1" x14ac:dyDescent="0.4">
      <c r="A61" s="395" t="s">
        <v>98</v>
      </c>
      <c r="B61" s="396">
        <v>1</v>
      </c>
      <c r="C61" s="999"/>
      <c r="D61" s="1002"/>
      <c r="E61" s="458">
        <v>2</v>
      </c>
      <c r="F61" s="408"/>
      <c r="G61" s="459" t="str">
        <f>IF(ISBLANK(F61),"-",(F61/$D$50*$D$47*$B$68)*($B$57/$D$60))</f>
        <v>-</v>
      </c>
      <c r="H61" s="460" t="str">
        <f t="shared" si="0"/>
        <v>-</v>
      </c>
      <c r="L61" s="383"/>
    </row>
    <row r="62" spans="1:12" s="14" customFormat="1" ht="26.25" customHeight="1" x14ac:dyDescent="0.4">
      <c r="A62" s="395" t="s">
        <v>99</v>
      </c>
      <c r="B62" s="396">
        <v>1</v>
      </c>
      <c r="C62" s="999"/>
      <c r="D62" s="1002"/>
      <c r="E62" s="458">
        <v>3</v>
      </c>
      <c r="F62" s="461"/>
      <c r="G62" s="459" t="str">
        <f>IF(ISBLANK(F62),"-",(F62/$D$50*$D$47*$B$68)*($B$57/$D$60))</f>
        <v>-</v>
      </c>
      <c r="H62" s="460" t="str">
        <f t="shared" si="0"/>
        <v>-</v>
      </c>
      <c r="L62" s="383"/>
    </row>
    <row r="63" spans="1:12" ht="27" customHeight="1" x14ac:dyDescent="0.4">
      <c r="A63" s="395" t="s">
        <v>100</v>
      </c>
      <c r="B63" s="396">
        <v>1</v>
      </c>
      <c r="C63" s="1000"/>
      <c r="D63" s="1003"/>
      <c r="E63" s="462">
        <v>4</v>
      </c>
      <c r="F63" s="463"/>
      <c r="G63" s="459" t="str">
        <f>IF(ISBLANK(F63),"-",(F63/$D$50*$D$47*$B$68)*($B$57/$D$60))</f>
        <v>-</v>
      </c>
      <c r="H63" s="460" t="str">
        <f t="shared" si="0"/>
        <v>-</v>
      </c>
    </row>
    <row r="64" spans="1:12" ht="26.25" customHeight="1" x14ac:dyDescent="0.4">
      <c r="A64" s="395" t="s">
        <v>101</v>
      </c>
      <c r="B64" s="396">
        <v>1</v>
      </c>
      <c r="C64" s="998" t="s">
        <v>102</v>
      </c>
      <c r="D64" s="1001"/>
      <c r="E64" s="454">
        <v>1</v>
      </c>
      <c r="F64" s="455"/>
      <c r="G64" s="464" t="str">
        <f>IF(ISBLANK(F64),"-",(F64/$D$50*$D$47*$B$68)*($B$57/$D$64))</f>
        <v>-</v>
      </c>
      <c r="H64" s="465" t="str">
        <f t="shared" si="0"/>
        <v>-</v>
      </c>
    </row>
    <row r="65" spans="1:8" ht="26.25" customHeight="1" x14ac:dyDescent="0.4">
      <c r="A65" s="395" t="s">
        <v>103</v>
      </c>
      <c r="B65" s="396">
        <v>1</v>
      </c>
      <c r="C65" s="999"/>
      <c r="D65" s="1002"/>
      <c r="E65" s="458">
        <v>2</v>
      </c>
      <c r="F65" s="408"/>
      <c r="G65" s="466" t="str">
        <f>IF(ISBLANK(F65),"-",(F65/$D$50*$D$47*$B$68)*($B$57/$D$64))</f>
        <v>-</v>
      </c>
      <c r="H65" s="467" t="str">
        <f t="shared" si="0"/>
        <v>-</v>
      </c>
    </row>
    <row r="66" spans="1:8" ht="26.25" customHeight="1" x14ac:dyDescent="0.4">
      <c r="A66" s="395" t="s">
        <v>104</v>
      </c>
      <c r="B66" s="396">
        <v>1</v>
      </c>
      <c r="C66" s="999"/>
      <c r="D66" s="1002"/>
      <c r="E66" s="458">
        <v>3</v>
      </c>
      <c r="F66" s="408"/>
      <c r="G66" s="466" t="str">
        <f>IF(ISBLANK(F66),"-",(F66/$D$50*$D$47*$B$68)*($B$57/$D$64))</f>
        <v>-</v>
      </c>
      <c r="H66" s="467" t="str">
        <f t="shared" si="0"/>
        <v>-</v>
      </c>
    </row>
    <row r="67" spans="1:8" ht="27" customHeight="1" x14ac:dyDescent="0.4">
      <c r="A67" s="395" t="s">
        <v>105</v>
      </c>
      <c r="B67" s="396">
        <v>1</v>
      </c>
      <c r="C67" s="1000"/>
      <c r="D67" s="1003"/>
      <c r="E67" s="462">
        <v>4</v>
      </c>
      <c r="F67" s="463"/>
      <c r="G67" s="468" t="str">
        <f>IF(ISBLANK(F67),"-",(F67/$D$50*$D$47*$B$68)*($B$57/$D$64))</f>
        <v>-</v>
      </c>
      <c r="H67" s="469" t="str">
        <f t="shared" si="0"/>
        <v>-</v>
      </c>
    </row>
    <row r="68" spans="1:8" ht="26.25" customHeight="1" x14ac:dyDescent="0.4">
      <c r="A68" s="395" t="s">
        <v>106</v>
      </c>
      <c r="B68" s="470">
        <f>(B67/B66)*(B65/B64)*(B63/B62)*(B61/B60)*B59</f>
        <v>1</v>
      </c>
      <c r="C68" s="998" t="s">
        <v>107</v>
      </c>
      <c r="D68" s="1001"/>
      <c r="E68" s="454">
        <v>1</v>
      </c>
      <c r="F68" s="455"/>
      <c r="G68" s="464" t="str">
        <f>IF(ISBLANK(F68),"-",(F68/$D$50*$D$47*$B$68)*($B$57/$D$68))</f>
        <v>-</v>
      </c>
      <c r="H68" s="460" t="str">
        <f t="shared" si="0"/>
        <v>-</v>
      </c>
    </row>
    <row r="69" spans="1:8" ht="27" customHeight="1" x14ac:dyDescent="0.4">
      <c r="A69" s="443" t="s">
        <v>108</v>
      </c>
      <c r="B69" s="471" t="e">
        <f>(D47*B68)/B56*B57</f>
        <v>#DIV/0!</v>
      </c>
      <c r="C69" s="999"/>
      <c r="D69" s="1002"/>
      <c r="E69" s="458">
        <v>2</v>
      </c>
      <c r="F69" s="408"/>
      <c r="G69" s="466" t="str">
        <f>IF(ISBLANK(F69),"-",(F69/$D$50*$D$47*$B$68)*($B$57/$D$68))</f>
        <v>-</v>
      </c>
      <c r="H69" s="460" t="str">
        <f t="shared" si="0"/>
        <v>-</v>
      </c>
    </row>
    <row r="70" spans="1:8" ht="26.25" customHeight="1" x14ac:dyDescent="0.4">
      <c r="A70" s="1007" t="s">
        <v>81</v>
      </c>
      <c r="B70" s="1008"/>
      <c r="C70" s="999"/>
      <c r="D70" s="1002"/>
      <c r="E70" s="458">
        <v>3</v>
      </c>
      <c r="F70" s="408"/>
      <c r="G70" s="466" t="str">
        <f>IF(ISBLANK(F70),"-",(F70/$D$50*$D$47*$B$68)*($B$57/$D$68))</f>
        <v>-</v>
      </c>
      <c r="H70" s="460" t="str">
        <f t="shared" si="0"/>
        <v>-</v>
      </c>
    </row>
    <row r="71" spans="1:8" ht="27" customHeight="1" x14ac:dyDescent="0.4">
      <c r="A71" s="1009"/>
      <c r="B71" s="1010"/>
      <c r="C71" s="1006"/>
      <c r="D71" s="1003"/>
      <c r="E71" s="462">
        <v>4</v>
      </c>
      <c r="F71" s="463"/>
      <c r="G71" s="468" t="str">
        <f>IF(ISBLANK(F71),"-",(F71/$D$50*$D$47*$B$68)*($B$57/$D$68))</f>
        <v>-</v>
      </c>
      <c r="H71" s="472" t="str">
        <f t="shared" si="0"/>
        <v>-</v>
      </c>
    </row>
    <row r="72" spans="1:8" ht="26.25" customHeight="1" x14ac:dyDescent="0.4">
      <c r="A72" s="473"/>
      <c r="B72" s="473"/>
      <c r="C72" s="473"/>
      <c r="D72" s="473"/>
      <c r="E72" s="473"/>
      <c r="F72" s="474"/>
      <c r="G72" s="475" t="s">
        <v>74</v>
      </c>
      <c r="H72" s="476" t="e">
        <f>AVERAGE(H60:H71)</f>
        <v>#DIV/0!</v>
      </c>
    </row>
    <row r="73" spans="1:8" ht="26.25" customHeight="1" x14ac:dyDescent="0.4">
      <c r="C73" s="473"/>
      <c r="D73" s="473"/>
      <c r="E73" s="473"/>
      <c r="F73" s="474"/>
      <c r="G73" s="477" t="s">
        <v>87</v>
      </c>
      <c r="H73" s="478" t="e">
        <f>STDEV(H60:H71)/H72</f>
        <v>#DIV/0!</v>
      </c>
    </row>
    <row r="74" spans="1:8" ht="27" customHeight="1" x14ac:dyDescent="0.4">
      <c r="A74" s="473"/>
      <c r="B74" s="473"/>
      <c r="C74" s="474"/>
      <c r="D74" s="474"/>
      <c r="E74" s="479"/>
      <c r="F74" s="474"/>
      <c r="G74" s="480" t="s">
        <v>20</v>
      </c>
      <c r="H74" s="481">
        <f>COUNT(H60:H71)</f>
        <v>0</v>
      </c>
    </row>
    <row r="76" spans="1:8" ht="26.25" customHeight="1" x14ac:dyDescent="0.4">
      <c r="A76" s="379" t="s">
        <v>109</v>
      </c>
      <c r="B76" s="482" t="s">
        <v>110</v>
      </c>
      <c r="C76" s="1011" t="str">
        <f>B20</f>
        <v>IMEPENEM USP, CILASTATIN</v>
      </c>
      <c r="D76" s="1011"/>
      <c r="E76" s="483" t="s">
        <v>111</v>
      </c>
      <c r="F76" s="483"/>
      <c r="G76" s="484" t="e">
        <f>H72</f>
        <v>#DIV/0!</v>
      </c>
      <c r="H76" s="485"/>
    </row>
    <row r="77" spans="1:8" ht="18.75" x14ac:dyDescent="0.3">
      <c r="A77" s="378" t="s">
        <v>112</v>
      </c>
      <c r="B77" s="378" t="s">
        <v>113</v>
      </c>
    </row>
    <row r="78" spans="1:8" ht="18.75" x14ac:dyDescent="0.3">
      <c r="A78" s="378"/>
      <c r="B78" s="378"/>
    </row>
    <row r="79" spans="1:8" ht="26.25" customHeight="1" x14ac:dyDescent="0.4">
      <c r="A79" s="379" t="s">
        <v>4</v>
      </c>
      <c r="B79" s="1012">
        <f>B26</f>
        <v>0</v>
      </c>
      <c r="C79" s="1012"/>
    </row>
    <row r="80" spans="1:8" ht="26.25" customHeight="1" x14ac:dyDescent="0.4">
      <c r="A80" s="380" t="s">
        <v>51</v>
      </c>
      <c r="B80" s="1012">
        <f>B27</f>
        <v>0</v>
      </c>
      <c r="C80" s="1012"/>
    </row>
    <row r="81" spans="1:12" ht="27" customHeight="1" x14ac:dyDescent="0.4">
      <c r="A81" s="380" t="s">
        <v>6</v>
      </c>
      <c r="B81" s="486">
        <f>B28</f>
        <v>0</v>
      </c>
    </row>
    <row r="82" spans="1:12" s="14" customFormat="1" ht="27" customHeight="1" x14ac:dyDescent="0.4">
      <c r="A82" s="380" t="s">
        <v>52</v>
      </c>
      <c r="B82" s="382">
        <v>0</v>
      </c>
      <c r="C82" s="984" t="s">
        <v>53</v>
      </c>
      <c r="D82" s="985"/>
      <c r="E82" s="985"/>
      <c r="F82" s="985"/>
      <c r="G82" s="986"/>
      <c r="I82" s="383"/>
      <c r="J82" s="383"/>
      <c r="K82" s="383"/>
      <c r="L82" s="383"/>
    </row>
    <row r="83" spans="1:12" s="14" customFormat="1" ht="19.5" customHeight="1" x14ac:dyDescent="0.3">
      <c r="A83" s="380" t="s">
        <v>54</v>
      </c>
      <c r="B83" s="384">
        <f>B81-B82</f>
        <v>0</v>
      </c>
      <c r="C83" s="385"/>
      <c r="D83" s="385"/>
      <c r="E83" s="385"/>
      <c r="F83" s="385"/>
      <c r="G83" s="386"/>
      <c r="I83" s="383"/>
      <c r="J83" s="383"/>
      <c r="K83" s="383"/>
      <c r="L83" s="383"/>
    </row>
    <row r="84" spans="1:12" s="14" customFormat="1" ht="27" customHeight="1" x14ac:dyDescent="0.4">
      <c r="A84" s="380" t="s">
        <v>55</v>
      </c>
      <c r="B84" s="387">
        <v>1</v>
      </c>
      <c r="C84" s="987" t="s">
        <v>114</v>
      </c>
      <c r="D84" s="988"/>
      <c r="E84" s="988"/>
      <c r="F84" s="988"/>
      <c r="G84" s="988"/>
      <c r="H84" s="989"/>
      <c r="I84" s="383"/>
      <c r="J84" s="383"/>
      <c r="K84" s="383"/>
      <c r="L84" s="383"/>
    </row>
    <row r="85" spans="1:12" s="14" customFormat="1" ht="27" customHeight="1" x14ac:dyDescent="0.4">
      <c r="A85" s="380" t="s">
        <v>57</v>
      </c>
      <c r="B85" s="387">
        <v>1</v>
      </c>
      <c r="C85" s="987" t="s">
        <v>115</v>
      </c>
      <c r="D85" s="988"/>
      <c r="E85" s="988"/>
      <c r="F85" s="988"/>
      <c r="G85" s="988"/>
      <c r="H85" s="989"/>
      <c r="I85" s="383"/>
      <c r="J85" s="383"/>
      <c r="K85" s="383"/>
      <c r="L85" s="383"/>
    </row>
    <row r="86" spans="1:12" s="14" customFormat="1" ht="18.75" x14ac:dyDescent="0.3">
      <c r="A86" s="380"/>
      <c r="B86" s="390"/>
      <c r="C86" s="391"/>
      <c r="D86" s="391"/>
      <c r="E86" s="391"/>
      <c r="F86" s="391"/>
      <c r="G86" s="391"/>
      <c r="H86" s="391"/>
      <c r="I86" s="383"/>
      <c r="J86" s="383"/>
      <c r="K86" s="383"/>
      <c r="L86" s="383"/>
    </row>
    <row r="87" spans="1:12" s="14" customFormat="1" ht="18.75" x14ac:dyDescent="0.3">
      <c r="A87" s="380" t="s">
        <v>59</v>
      </c>
      <c r="B87" s="392">
        <f>B84/B85</f>
        <v>1</v>
      </c>
      <c r="C87" s="370" t="s">
        <v>60</v>
      </c>
      <c r="D87" s="370"/>
      <c r="E87" s="370"/>
      <c r="F87" s="370"/>
      <c r="G87" s="370"/>
      <c r="I87" s="383"/>
      <c r="J87" s="383"/>
      <c r="K87" s="383"/>
      <c r="L87" s="383"/>
    </row>
    <row r="88" spans="1:12" ht="19.5" customHeight="1" x14ac:dyDescent="0.3">
      <c r="A88" s="378"/>
      <c r="B88" s="378"/>
    </row>
    <row r="89" spans="1:12" ht="27" customHeight="1" x14ac:dyDescent="0.4">
      <c r="A89" s="393" t="s">
        <v>61</v>
      </c>
      <c r="B89" s="394">
        <v>1</v>
      </c>
      <c r="D89" s="487" t="s">
        <v>62</v>
      </c>
      <c r="E89" s="488"/>
      <c r="F89" s="990" t="s">
        <v>63</v>
      </c>
      <c r="G89" s="992"/>
    </row>
    <row r="90" spans="1:12" ht="27" customHeight="1" x14ac:dyDescent="0.4">
      <c r="A90" s="395" t="s">
        <v>64</v>
      </c>
      <c r="B90" s="396">
        <v>1</v>
      </c>
      <c r="C90" s="489" t="s">
        <v>65</v>
      </c>
      <c r="D90" s="398" t="s">
        <v>66</v>
      </c>
      <c r="E90" s="399" t="s">
        <v>67</v>
      </c>
      <c r="F90" s="398" t="s">
        <v>66</v>
      </c>
      <c r="G90" s="490" t="s">
        <v>67</v>
      </c>
      <c r="I90" s="401" t="s">
        <v>68</v>
      </c>
    </row>
    <row r="91" spans="1:12" ht="26.25" customHeight="1" x14ac:dyDescent="0.4">
      <c r="A91" s="395" t="s">
        <v>69</v>
      </c>
      <c r="B91" s="396">
        <v>1</v>
      </c>
      <c r="C91" s="491">
        <v>1</v>
      </c>
      <c r="D91" s="403"/>
      <c r="E91" s="404" t="str">
        <f>IF(ISBLANK(D91),"-",$D$101/$D$98*D91)</f>
        <v>-</v>
      </c>
      <c r="F91" s="403"/>
      <c r="G91" s="405" t="str">
        <f>IF(ISBLANK(F91),"-",$D$101/$F$98*F91)</f>
        <v>-</v>
      </c>
      <c r="I91" s="406"/>
    </row>
    <row r="92" spans="1:12" ht="26.25" customHeight="1" x14ac:dyDescent="0.4">
      <c r="A92" s="395" t="s">
        <v>70</v>
      </c>
      <c r="B92" s="396">
        <v>1</v>
      </c>
      <c r="C92" s="474">
        <v>2</v>
      </c>
      <c r="D92" s="408"/>
      <c r="E92" s="409" t="str">
        <f>IF(ISBLANK(D92),"-",$D$101/$D$98*D92)</f>
        <v>-</v>
      </c>
      <c r="F92" s="408"/>
      <c r="G92" s="410" t="str">
        <f>IF(ISBLANK(F92),"-",$D$101/$F$98*F92)</f>
        <v>-</v>
      </c>
      <c r="I92" s="993" t="e">
        <f>ABS((F96/D96*D95)-F95)/D95</f>
        <v>#DIV/0!</v>
      </c>
    </row>
    <row r="93" spans="1:12" ht="26.25" customHeight="1" x14ac:dyDescent="0.4">
      <c r="A93" s="395" t="s">
        <v>71</v>
      </c>
      <c r="B93" s="396">
        <v>1</v>
      </c>
      <c r="C93" s="474">
        <v>3</v>
      </c>
      <c r="D93" s="408"/>
      <c r="E93" s="409" t="str">
        <f>IF(ISBLANK(D93),"-",$D$101/$D$98*D93)</f>
        <v>-</v>
      </c>
      <c r="F93" s="408"/>
      <c r="G93" s="410" t="str">
        <f>IF(ISBLANK(F93),"-",$D$101/$F$98*F93)</f>
        <v>-</v>
      </c>
      <c r="I93" s="993"/>
    </row>
    <row r="94" spans="1:12" ht="27" customHeight="1" x14ac:dyDescent="0.4">
      <c r="A94" s="395" t="s">
        <v>72</v>
      </c>
      <c r="B94" s="396">
        <v>1</v>
      </c>
      <c r="C94" s="492">
        <v>4</v>
      </c>
      <c r="D94" s="413"/>
      <c r="E94" s="414" t="str">
        <f>IF(ISBLANK(D94),"-",$D$101/$D$98*D94)</f>
        <v>-</v>
      </c>
      <c r="F94" s="493"/>
      <c r="G94" s="415" t="str">
        <f>IF(ISBLANK(F94),"-",$D$101/$F$98*F94)</f>
        <v>-</v>
      </c>
      <c r="I94" s="416"/>
    </row>
    <row r="95" spans="1:12" ht="27" customHeight="1" x14ac:dyDescent="0.4">
      <c r="A95" s="395" t="s">
        <v>73</v>
      </c>
      <c r="B95" s="396">
        <v>1</v>
      </c>
      <c r="C95" s="494" t="s">
        <v>74</v>
      </c>
      <c r="D95" s="495" t="e">
        <f>AVERAGE(D91:D94)</f>
        <v>#DIV/0!</v>
      </c>
      <c r="E95" s="419" t="e">
        <f>AVERAGE(E91:E94)</f>
        <v>#DIV/0!</v>
      </c>
      <c r="F95" s="496" t="e">
        <f>AVERAGE(F91:F94)</f>
        <v>#DIV/0!</v>
      </c>
      <c r="G95" s="497" t="e">
        <f>AVERAGE(G91:G94)</f>
        <v>#DIV/0!</v>
      </c>
    </row>
    <row r="96" spans="1:12" ht="26.25" customHeight="1" x14ac:dyDescent="0.4">
      <c r="A96" s="395" t="s">
        <v>75</v>
      </c>
      <c r="B96" s="381">
        <v>1</v>
      </c>
      <c r="C96" s="498" t="s">
        <v>116</v>
      </c>
      <c r="D96" s="499"/>
      <c r="E96" s="411"/>
      <c r="F96" s="423"/>
    </row>
    <row r="97" spans="1:10" ht="26.25" customHeight="1" x14ac:dyDescent="0.4">
      <c r="A97" s="395" t="s">
        <v>77</v>
      </c>
      <c r="B97" s="381">
        <v>1</v>
      </c>
      <c r="C97" s="500" t="s">
        <v>117</v>
      </c>
      <c r="D97" s="501">
        <f>D96*$B$87</f>
        <v>0</v>
      </c>
      <c r="E97" s="426"/>
      <c r="F97" s="425">
        <f>F96*$B$87</f>
        <v>0</v>
      </c>
    </row>
    <row r="98" spans="1:10" ht="19.5" customHeight="1" x14ac:dyDescent="0.3">
      <c r="A98" s="395" t="s">
        <v>79</v>
      </c>
      <c r="B98" s="502">
        <f>(B97/B96)*(B95/B94)*(B93/B92)*(B91/B90)*B89</f>
        <v>1</v>
      </c>
      <c r="C98" s="500" t="s">
        <v>118</v>
      </c>
      <c r="D98" s="503">
        <f>D97*$B$83/100</f>
        <v>0</v>
      </c>
      <c r="E98" s="429"/>
      <c r="F98" s="428">
        <f>F97*$B$83/100</f>
        <v>0</v>
      </c>
    </row>
    <row r="99" spans="1:10" ht="19.5" customHeight="1" x14ac:dyDescent="0.3">
      <c r="A99" s="994" t="s">
        <v>81</v>
      </c>
      <c r="B99" s="1004"/>
      <c r="C99" s="500" t="s">
        <v>119</v>
      </c>
      <c r="D99" s="504">
        <f>D98/$B$98</f>
        <v>0</v>
      </c>
      <c r="E99" s="429"/>
      <c r="F99" s="432">
        <f>F98/$B$98</f>
        <v>0</v>
      </c>
      <c r="G99" s="505"/>
      <c r="H99" s="421"/>
    </row>
    <row r="100" spans="1:10" ht="19.5" customHeight="1" x14ac:dyDescent="0.3">
      <c r="A100" s="996"/>
      <c r="B100" s="1005"/>
      <c r="C100" s="500" t="s">
        <v>83</v>
      </c>
      <c r="D100" s="506">
        <f>$B$56/$B$116</f>
        <v>0</v>
      </c>
      <c r="F100" s="437"/>
      <c r="G100" s="507"/>
      <c r="H100" s="421"/>
    </row>
    <row r="101" spans="1:10" ht="18.75" x14ac:dyDescent="0.3">
      <c r="C101" s="500" t="s">
        <v>84</v>
      </c>
      <c r="D101" s="501">
        <f>D100*$B$98</f>
        <v>0</v>
      </c>
      <c r="F101" s="437"/>
      <c r="G101" s="505"/>
      <c r="H101" s="421"/>
    </row>
    <row r="102" spans="1:10" ht="19.5" customHeight="1" x14ac:dyDescent="0.3">
      <c r="C102" s="508" t="s">
        <v>85</v>
      </c>
      <c r="D102" s="509">
        <f>D101/B34</f>
        <v>0</v>
      </c>
      <c r="F102" s="441"/>
      <c r="G102" s="505"/>
      <c r="H102" s="421"/>
      <c r="J102" s="510"/>
    </row>
    <row r="103" spans="1:10" ht="18.75" x14ac:dyDescent="0.3">
      <c r="C103" s="511" t="s">
        <v>120</v>
      </c>
      <c r="D103" s="512" t="e">
        <f>AVERAGE(E91:E94,G91:G94)</f>
        <v>#DIV/0!</v>
      </c>
      <c r="F103" s="441"/>
      <c r="G103" s="513"/>
      <c r="H103" s="421"/>
      <c r="J103" s="514"/>
    </row>
    <row r="104" spans="1:10" ht="18.75" x14ac:dyDescent="0.3">
      <c r="C104" s="477" t="s">
        <v>87</v>
      </c>
      <c r="D104" s="515" t="e">
        <f>STDEV(E91:E94,G91:G94)/D103</f>
        <v>#DIV/0!</v>
      </c>
      <c r="F104" s="441"/>
      <c r="G104" s="505"/>
      <c r="H104" s="421"/>
      <c r="J104" s="514"/>
    </row>
    <row r="105" spans="1:10" ht="19.5" customHeight="1" x14ac:dyDescent="0.3">
      <c r="C105" s="480" t="s">
        <v>20</v>
      </c>
      <c r="D105" s="516">
        <f>COUNT(E91:E94,G91:G94)</f>
        <v>0</v>
      </c>
      <c r="F105" s="441"/>
      <c r="G105" s="505"/>
      <c r="H105" s="421"/>
      <c r="J105" s="514"/>
    </row>
    <row r="106" spans="1:10" ht="19.5" customHeight="1" x14ac:dyDescent="0.3">
      <c r="A106" s="445"/>
      <c r="B106" s="445"/>
      <c r="C106" s="445"/>
      <c r="D106" s="445"/>
      <c r="E106" s="445"/>
    </row>
    <row r="107" spans="1:10" ht="26.25" customHeight="1" x14ac:dyDescent="0.4">
      <c r="A107" s="393" t="s">
        <v>121</v>
      </c>
      <c r="B107" s="394">
        <v>1</v>
      </c>
      <c r="C107" s="517" t="s">
        <v>41</v>
      </c>
      <c r="D107" s="518" t="s">
        <v>66</v>
      </c>
      <c r="E107" s="519" t="s">
        <v>122</v>
      </c>
      <c r="F107" s="520" t="s">
        <v>123</v>
      </c>
    </row>
    <row r="108" spans="1:10" ht="26.25" customHeight="1" x14ac:dyDescent="0.4">
      <c r="A108" s="395" t="s">
        <v>124</v>
      </c>
      <c r="B108" s="396">
        <v>1</v>
      </c>
      <c r="C108" s="521">
        <v>1</v>
      </c>
      <c r="D108" s="522"/>
      <c r="E108" s="523" t="str">
        <f t="shared" ref="E108:E113" si="1">IF(ISBLANK(D108),"-",D108/$D$103*$D$100*$B$116)</f>
        <v>-</v>
      </c>
      <c r="F108" s="524" t="str">
        <f t="shared" ref="F108:F113" si="2">IF(ISBLANK(D108), "-", E108/$B$56)</f>
        <v>-</v>
      </c>
    </row>
    <row r="109" spans="1:10" ht="26.25" customHeight="1" x14ac:dyDescent="0.4">
      <c r="A109" s="395" t="s">
        <v>98</v>
      </c>
      <c r="B109" s="396">
        <v>1</v>
      </c>
      <c r="C109" s="521">
        <v>2</v>
      </c>
      <c r="D109" s="522"/>
      <c r="E109" s="525" t="str">
        <f t="shared" si="1"/>
        <v>-</v>
      </c>
      <c r="F109" s="526" t="str">
        <f t="shared" si="2"/>
        <v>-</v>
      </c>
    </row>
    <row r="110" spans="1:10" ht="26.25" customHeight="1" x14ac:dyDescent="0.4">
      <c r="A110" s="395" t="s">
        <v>99</v>
      </c>
      <c r="B110" s="396">
        <v>1</v>
      </c>
      <c r="C110" s="521">
        <v>3</v>
      </c>
      <c r="D110" s="522"/>
      <c r="E110" s="525" t="str">
        <f t="shared" si="1"/>
        <v>-</v>
      </c>
      <c r="F110" s="526" t="str">
        <f t="shared" si="2"/>
        <v>-</v>
      </c>
    </row>
    <row r="111" spans="1:10" ht="26.25" customHeight="1" x14ac:dyDescent="0.4">
      <c r="A111" s="395" t="s">
        <v>100</v>
      </c>
      <c r="B111" s="396">
        <v>1</v>
      </c>
      <c r="C111" s="521">
        <v>4</v>
      </c>
      <c r="D111" s="522"/>
      <c r="E111" s="525" t="str">
        <f t="shared" si="1"/>
        <v>-</v>
      </c>
      <c r="F111" s="526" t="str">
        <f t="shared" si="2"/>
        <v>-</v>
      </c>
    </row>
    <row r="112" spans="1:10" ht="26.25" customHeight="1" x14ac:dyDescent="0.4">
      <c r="A112" s="395" t="s">
        <v>101</v>
      </c>
      <c r="B112" s="396">
        <v>1</v>
      </c>
      <c r="C112" s="521">
        <v>5</v>
      </c>
      <c r="D112" s="522"/>
      <c r="E112" s="525" t="str">
        <f t="shared" si="1"/>
        <v>-</v>
      </c>
      <c r="F112" s="526" t="str">
        <f t="shared" si="2"/>
        <v>-</v>
      </c>
    </row>
    <row r="113" spans="1:10" ht="26.25" customHeight="1" x14ac:dyDescent="0.4">
      <c r="A113" s="395" t="s">
        <v>103</v>
      </c>
      <c r="B113" s="396">
        <v>1</v>
      </c>
      <c r="C113" s="527">
        <v>6</v>
      </c>
      <c r="D113" s="528"/>
      <c r="E113" s="529" t="str">
        <f t="shared" si="1"/>
        <v>-</v>
      </c>
      <c r="F113" s="530" t="str">
        <f t="shared" si="2"/>
        <v>-</v>
      </c>
    </row>
    <row r="114" spans="1:10" ht="26.25" customHeight="1" x14ac:dyDescent="0.4">
      <c r="A114" s="395" t="s">
        <v>104</v>
      </c>
      <c r="B114" s="396">
        <v>1</v>
      </c>
      <c r="C114" s="521"/>
      <c r="D114" s="474"/>
      <c r="E114" s="369"/>
      <c r="F114" s="531"/>
    </row>
    <row r="115" spans="1:10" ht="26.25" customHeight="1" x14ac:dyDescent="0.4">
      <c r="A115" s="395" t="s">
        <v>105</v>
      </c>
      <c r="B115" s="396">
        <v>1</v>
      </c>
      <c r="C115" s="521"/>
      <c r="D115" s="532"/>
      <c r="E115" s="533" t="s">
        <v>74</v>
      </c>
      <c r="F115" s="534" t="e">
        <f>AVERAGE(F108:F113)</f>
        <v>#DIV/0!</v>
      </c>
    </row>
    <row r="116" spans="1:10" ht="27" customHeight="1" x14ac:dyDescent="0.4">
      <c r="A116" s="395" t="s">
        <v>106</v>
      </c>
      <c r="B116" s="427">
        <f>(B115/B114)*(B113/B112)*(B111/B110)*(B109/B108)*B107</f>
        <v>1</v>
      </c>
      <c r="C116" s="535"/>
      <c r="D116" s="536"/>
      <c r="E116" s="494" t="s">
        <v>87</v>
      </c>
      <c r="F116" s="537" t="e">
        <f>STDEV(F108:F113)/F115</f>
        <v>#DIV/0!</v>
      </c>
      <c r="I116" s="369"/>
    </row>
    <row r="117" spans="1:10" ht="27" customHeight="1" x14ac:dyDescent="0.4">
      <c r="A117" s="994" t="s">
        <v>81</v>
      </c>
      <c r="B117" s="995"/>
      <c r="C117" s="538"/>
      <c r="D117" s="539"/>
      <c r="E117" s="540" t="s">
        <v>20</v>
      </c>
      <c r="F117" s="541">
        <f>COUNT(F108:F113)</f>
        <v>0</v>
      </c>
      <c r="I117" s="369"/>
      <c r="J117" s="514"/>
    </row>
    <row r="118" spans="1:10" ht="19.5" customHeight="1" x14ac:dyDescent="0.3">
      <c r="A118" s="996"/>
      <c r="B118" s="997"/>
      <c r="C118" s="369"/>
      <c r="D118" s="369"/>
      <c r="E118" s="369"/>
      <c r="F118" s="474"/>
      <c r="G118" s="369"/>
      <c r="H118" s="369"/>
      <c r="I118" s="369"/>
    </row>
    <row r="119" spans="1:10" ht="18.75" x14ac:dyDescent="0.3">
      <c r="A119" s="550"/>
      <c r="B119" s="391"/>
      <c r="C119" s="369"/>
      <c r="D119" s="369"/>
      <c r="E119" s="369"/>
      <c r="F119" s="474"/>
      <c r="G119" s="369"/>
      <c r="H119" s="369"/>
      <c r="I119" s="369"/>
    </row>
    <row r="120" spans="1:10" ht="26.25" customHeight="1" x14ac:dyDescent="0.4">
      <c r="A120" s="379" t="s">
        <v>109</v>
      </c>
      <c r="B120" s="482" t="s">
        <v>125</v>
      </c>
      <c r="C120" s="1011" t="str">
        <f>B20</f>
        <v>IMEPENEM USP, CILASTATIN</v>
      </c>
      <c r="D120" s="1011"/>
      <c r="E120" s="483" t="s">
        <v>126</v>
      </c>
      <c r="F120" s="483"/>
      <c r="G120" s="484" t="e">
        <f>F115</f>
        <v>#DIV/0!</v>
      </c>
      <c r="H120" s="369"/>
      <c r="I120" s="369"/>
    </row>
    <row r="121" spans="1:10" ht="19.5" customHeight="1" x14ac:dyDescent="0.3">
      <c r="A121" s="542"/>
      <c r="B121" s="542"/>
      <c r="C121" s="543"/>
      <c r="D121" s="543"/>
      <c r="E121" s="543"/>
      <c r="F121" s="543"/>
      <c r="G121" s="543"/>
      <c r="H121" s="543"/>
    </row>
    <row r="122" spans="1:10" ht="18.75" x14ac:dyDescent="0.3">
      <c r="B122" s="1013" t="s">
        <v>26</v>
      </c>
      <c r="C122" s="1013"/>
      <c r="E122" s="489" t="s">
        <v>27</v>
      </c>
      <c r="F122" s="544"/>
      <c r="G122" s="1013" t="s">
        <v>28</v>
      </c>
      <c r="H122" s="1013"/>
    </row>
    <row r="123" spans="1:10" ht="18.75" x14ac:dyDescent="0.3">
      <c r="A123" s="545" t="s">
        <v>29</v>
      </c>
      <c r="B123" s="546"/>
      <c r="C123" s="546"/>
      <c r="E123" s="546"/>
      <c r="F123" s="369"/>
      <c r="G123" s="547"/>
      <c r="H123" s="547"/>
    </row>
    <row r="124" spans="1:10" ht="18.75" x14ac:dyDescent="0.3">
      <c r="A124" s="545" t="s">
        <v>30</v>
      </c>
      <c r="B124" s="548"/>
      <c r="C124" s="548"/>
      <c r="E124" s="548"/>
      <c r="F124" s="369"/>
      <c r="G124" s="549"/>
      <c r="H124" s="549"/>
    </row>
    <row r="125" spans="1:10" ht="18.75" x14ac:dyDescent="0.3">
      <c r="A125" s="473"/>
      <c r="B125" s="473"/>
      <c r="C125" s="474"/>
      <c r="D125" s="474"/>
      <c r="E125" s="474"/>
      <c r="F125" s="479"/>
      <c r="G125" s="474"/>
      <c r="H125" s="474"/>
      <c r="I125" s="369"/>
    </row>
    <row r="126" spans="1:10" ht="18.75" x14ac:dyDescent="0.3">
      <c r="A126" s="473"/>
      <c r="B126" s="473"/>
      <c r="C126" s="474"/>
      <c r="D126" s="474"/>
      <c r="E126" s="474"/>
      <c r="F126" s="479"/>
      <c r="G126" s="474"/>
      <c r="H126" s="474"/>
      <c r="I126" s="369"/>
    </row>
    <row r="127" spans="1:10" ht="18.75" x14ac:dyDescent="0.3">
      <c r="A127" s="473"/>
      <c r="B127" s="473"/>
      <c r="C127" s="474"/>
      <c r="D127" s="474"/>
      <c r="E127" s="474"/>
      <c r="F127" s="479"/>
      <c r="G127" s="474"/>
      <c r="H127" s="474"/>
      <c r="I127" s="369"/>
    </row>
    <row r="128" spans="1:10" ht="18.75" x14ac:dyDescent="0.3">
      <c r="A128" s="473"/>
      <c r="B128" s="473"/>
      <c r="C128" s="474"/>
      <c r="D128" s="474"/>
      <c r="E128" s="474"/>
      <c r="F128" s="479"/>
      <c r="G128" s="474"/>
      <c r="H128" s="474"/>
      <c r="I128" s="369"/>
    </row>
    <row r="129" spans="1:9" ht="18.75" x14ac:dyDescent="0.3">
      <c r="A129" s="473"/>
      <c r="B129" s="473"/>
      <c r="C129" s="474"/>
      <c r="D129" s="474"/>
      <c r="E129" s="474"/>
      <c r="F129" s="479"/>
      <c r="G129" s="474"/>
      <c r="H129" s="474"/>
      <c r="I129" s="369"/>
    </row>
    <row r="130" spans="1:9" ht="18.75" x14ac:dyDescent="0.3">
      <c r="A130" s="473"/>
      <c r="B130" s="473"/>
      <c r="C130" s="474"/>
      <c r="D130" s="474"/>
      <c r="E130" s="474"/>
      <c r="F130" s="479"/>
      <c r="G130" s="474"/>
      <c r="H130" s="474"/>
      <c r="I130" s="369"/>
    </row>
    <row r="131" spans="1:9" ht="18.75" x14ac:dyDescent="0.3">
      <c r="A131" s="473"/>
      <c r="B131" s="473"/>
      <c r="C131" s="474"/>
      <c r="D131" s="474"/>
      <c r="E131" s="474"/>
      <c r="F131" s="479"/>
      <c r="G131" s="474"/>
      <c r="H131" s="474"/>
      <c r="I131" s="369"/>
    </row>
    <row r="132" spans="1:9" ht="18.75" x14ac:dyDescent="0.3">
      <c r="A132" s="473"/>
      <c r="B132" s="473"/>
      <c r="C132" s="474"/>
      <c r="D132" s="474"/>
      <c r="E132" s="474"/>
      <c r="F132" s="479"/>
      <c r="G132" s="474"/>
      <c r="H132" s="474"/>
      <c r="I132" s="369"/>
    </row>
    <row r="133" spans="1:9" ht="18.75" x14ac:dyDescent="0.3">
      <c r="A133" s="473"/>
      <c r="B133" s="473"/>
      <c r="C133" s="474"/>
      <c r="D133" s="474"/>
      <c r="E133" s="474"/>
      <c r="F133" s="479"/>
      <c r="G133" s="474"/>
      <c r="H133" s="474"/>
      <c r="I133" s="369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51" priority="1" operator="greaterThan">
      <formula>0.02</formula>
    </cfRule>
  </conditionalFormatting>
  <conditionalFormatting sqref="D51">
    <cfRule type="cellIs" dxfId="50" priority="2" operator="greaterThan">
      <formula>0.02</formula>
    </cfRule>
  </conditionalFormatting>
  <conditionalFormatting sqref="H73">
    <cfRule type="cellIs" dxfId="49" priority="3" operator="greaterThan">
      <formula>0.02</formula>
    </cfRule>
  </conditionalFormatting>
  <conditionalFormatting sqref="D104">
    <cfRule type="cellIs" dxfId="48" priority="4" operator="greaterThan">
      <formula>0.02</formula>
    </cfRule>
  </conditionalFormatting>
  <conditionalFormatting sqref="I39">
    <cfRule type="cellIs" dxfId="47" priority="5" operator="lessThanOrEqual">
      <formula>0.02</formula>
    </cfRule>
  </conditionalFormatting>
  <conditionalFormatting sqref="I39">
    <cfRule type="cellIs" dxfId="46" priority="6" operator="greaterThan">
      <formula>0.02</formula>
    </cfRule>
  </conditionalFormatting>
  <conditionalFormatting sqref="I92">
    <cfRule type="cellIs" dxfId="45" priority="7" operator="lessThanOrEqual">
      <formula>0.02</formula>
    </cfRule>
  </conditionalFormatting>
  <conditionalFormatting sqref="I92">
    <cfRule type="cellIs" dxfId="44" priority="8" operator="greaterThan">
      <formula>0.02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zoomScale="78" zoomScaleNormal="78" workbookViewId="0">
      <selection activeCell="H73" sqref="H73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ht="18.75" customHeight="1" x14ac:dyDescent="0.3">
      <c r="A1" s="552"/>
      <c r="B1" s="552"/>
      <c r="C1" s="552"/>
      <c r="D1" s="552"/>
      <c r="E1" s="552"/>
      <c r="F1" s="552"/>
      <c r="G1" s="552"/>
      <c r="H1" s="552"/>
    </row>
    <row r="2" spans="1:8" ht="18.75" customHeight="1" x14ac:dyDescent="0.3">
      <c r="A2" s="552"/>
      <c r="B2" s="552"/>
      <c r="C2" s="552"/>
      <c r="D2" s="552"/>
      <c r="E2" s="552"/>
      <c r="F2" s="552"/>
      <c r="G2" s="552"/>
      <c r="H2" s="552"/>
    </row>
    <row r="3" spans="1:8" ht="18.75" customHeight="1" x14ac:dyDescent="0.3">
      <c r="A3" s="552"/>
      <c r="B3" s="552"/>
      <c r="C3" s="552"/>
      <c r="D3" s="552"/>
      <c r="E3" s="552"/>
      <c r="F3" s="552"/>
      <c r="G3" s="552"/>
      <c r="H3" s="552"/>
    </row>
    <row r="4" spans="1:8" ht="18.75" customHeight="1" x14ac:dyDescent="0.3">
      <c r="A4" s="552"/>
      <c r="B4" s="552"/>
      <c r="C4" s="552"/>
      <c r="D4" s="552"/>
      <c r="E4" s="552"/>
      <c r="F4" s="552"/>
      <c r="G4" s="552"/>
      <c r="H4" s="552"/>
    </row>
    <row r="5" spans="1:8" ht="18.75" customHeight="1" x14ac:dyDescent="0.3">
      <c r="A5" s="552"/>
      <c r="B5" s="552"/>
      <c r="C5" s="552"/>
      <c r="D5" s="552"/>
      <c r="E5" s="552"/>
      <c r="F5" s="552"/>
      <c r="G5" s="552"/>
      <c r="H5" s="552"/>
    </row>
    <row r="6" spans="1:8" ht="18.75" customHeight="1" x14ac:dyDescent="0.3">
      <c r="A6" s="552"/>
      <c r="B6" s="552"/>
      <c r="C6" s="552"/>
      <c r="D6" s="552"/>
      <c r="E6" s="552"/>
      <c r="F6" s="552"/>
      <c r="G6" s="552"/>
      <c r="H6" s="552"/>
    </row>
    <row r="7" spans="1:8" ht="18.75" customHeight="1" x14ac:dyDescent="0.3">
      <c r="A7" s="552"/>
      <c r="B7" s="552"/>
      <c r="C7" s="552"/>
      <c r="D7" s="552"/>
      <c r="E7" s="552"/>
      <c r="F7" s="552"/>
      <c r="G7" s="552"/>
      <c r="H7" s="552"/>
    </row>
    <row r="8" spans="1:8" ht="18.75" customHeight="1" x14ac:dyDescent="0.3">
      <c r="A8" s="552"/>
      <c r="B8" s="552"/>
      <c r="C8" s="552"/>
      <c r="D8" s="552"/>
      <c r="E8" s="552"/>
      <c r="F8" s="552"/>
      <c r="G8" s="552"/>
      <c r="H8" s="552"/>
    </row>
    <row r="9" spans="1:8" ht="18.75" customHeight="1" x14ac:dyDescent="0.3">
      <c r="A9" s="552"/>
      <c r="B9" s="552"/>
      <c r="C9" s="552"/>
      <c r="D9" s="552"/>
      <c r="E9" s="552"/>
      <c r="F9" s="552"/>
      <c r="G9" s="552"/>
      <c r="H9" s="552"/>
    </row>
    <row r="10" spans="1:8" ht="18.75" customHeight="1" x14ac:dyDescent="0.3">
      <c r="A10" s="552"/>
      <c r="B10" s="552"/>
      <c r="C10" s="552"/>
      <c r="D10" s="552"/>
      <c r="E10" s="552"/>
      <c r="F10" s="552"/>
      <c r="G10" s="552"/>
      <c r="H10" s="552"/>
    </row>
    <row r="11" spans="1:8" ht="18.75" customHeight="1" x14ac:dyDescent="0.3">
      <c r="A11" s="552"/>
      <c r="B11" s="552"/>
      <c r="C11" s="552"/>
      <c r="D11" s="552"/>
      <c r="E11" s="552"/>
      <c r="F11" s="552"/>
      <c r="G11" s="552"/>
      <c r="H11" s="552"/>
    </row>
    <row r="12" spans="1:8" ht="18.75" customHeight="1" x14ac:dyDescent="0.3">
      <c r="A12" s="552"/>
      <c r="B12" s="552"/>
      <c r="C12" s="552"/>
      <c r="D12" s="552"/>
      <c r="E12" s="552"/>
      <c r="F12" s="552"/>
      <c r="G12" s="552"/>
      <c r="H12" s="552"/>
    </row>
    <row r="13" spans="1:8" ht="18.75" customHeight="1" x14ac:dyDescent="0.3">
      <c r="A13" s="552"/>
      <c r="B13" s="552"/>
      <c r="C13" s="552"/>
      <c r="D13" s="552"/>
      <c r="E13" s="552"/>
      <c r="F13" s="552"/>
      <c r="G13" s="552"/>
      <c r="H13" s="552"/>
    </row>
    <row r="14" spans="1:8" ht="18.75" customHeight="1" x14ac:dyDescent="0.3">
      <c r="A14" s="552"/>
      <c r="B14" s="552"/>
      <c r="C14" s="552"/>
      <c r="D14" s="552"/>
      <c r="E14" s="552"/>
      <c r="F14" s="552"/>
      <c r="G14" s="552"/>
      <c r="H14" s="552"/>
    </row>
    <row r="15" spans="1:8" ht="19.5" customHeight="1" x14ac:dyDescent="0.3">
      <c r="A15" s="552"/>
      <c r="B15" s="552"/>
      <c r="C15" s="552"/>
      <c r="D15" s="552"/>
      <c r="E15" s="552"/>
      <c r="F15" s="552"/>
      <c r="G15" s="552"/>
      <c r="H15" s="552"/>
    </row>
    <row r="16" spans="1:8" ht="19.5" customHeight="1" x14ac:dyDescent="0.3">
      <c r="A16" s="978" t="s">
        <v>31</v>
      </c>
      <c r="B16" s="979"/>
      <c r="C16" s="979"/>
      <c r="D16" s="979"/>
      <c r="E16" s="979"/>
      <c r="F16" s="979"/>
      <c r="G16" s="979"/>
      <c r="H16" s="980"/>
    </row>
    <row r="17" spans="1:8" ht="18.75" customHeight="1" x14ac:dyDescent="0.3">
      <c r="A17" s="553" t="s">
        <v>50</v>
      </c>
      <c r="B17" s="553"/>
      <c r="C17" s="552"/>
      <c r="D17" s="552"/>
      <c r="E17" s="552"/>
      <c r="F17" s="552"/>
      <c r="G17" s="552"/>
      <c r="H17" s="552"/>
    </row>
    <row r="18" spans="1:8" ht="26.25" customHeight="1" x14ac:dyDescent="0.4">
      <c r="A18" s="554" t="s">
        <v>33</v>
      </c>
      <c r="B18" s="1012"/>
      <c r="C18" s="1012"/>
      <c r="D18" s="1012"/>
      <c r="E18" s="1012"/>
      <c r="F18" s="552"/>
      <c r="G18" s="552"/>
      <c r="H18" s="552"/>
    </row>
    <row r="19" spans="1:8" ht="26.25" customHeight="1" x14ac:dyDescent="0.4">
      <c r="A19" s="554" t="s">
        <v>34</v>
      </c>
      <c r="B19" s="555"/>
      <c r="C19" s="552">
        <v>8</v>
      </c>
      <c r="D19" s="552"/>
      <c r="E19" s="552"/>
      <c r="F19" s="552"/>
      <c r="G19" s="552"/>
      <c r="H19" s="552"/>
    </row>
    <row r="20" spans="1:8" ht="26.25" customHeight="1" x14ac:dyDescent="0.4">
      <c r="A20" s="554" t="s">
        <v>35</v>
      </c>
      <c r="B20" s="555"/>
      <c r="C20" s="552"/>
      <c r="D20" s="552"/>
      <c r="E20" s="552"/>
      <c r="F20" s="552"/>
      <c r="G20" s="552"/>
      <c r="H20" s="552"/>
    </row>
    <row r="21" spans="1:8" ht="26.25" customHeight="1" x14ac:dyDescent="0.4">
      <c r="A21" s="554" t="s">
        <v>36</v>
      </c>
      <c r="B21" s="983"/>
      <c r="C21" s="983"/>
      <c r="D21" s="983"/>
      <c r="E21" s="983"/>
      <c r="F21" s="983"/>
      <c r="G21" s="983"/>
      <c r="H21" s="983"/>
    </row>
    <row r="22" spans="1:8" ht="26.25" customHeight="1" x14ac:dyDescent="0.4">
      <c r="A22" s="554" t="s">
        <v>37</v>
      </c>
      <c r="B22" s="556"/>
      <c r="C22" s="552"/>
      <c r="D22" s="552"/>
      <c r="E22" s="552"/>
      <c r="F22" s="552"/>
      <c r="G22" s="552"/>
      <c r="H22" s="552"/>
    </row>
    <row r="23" spans="1:8" ht="26.25" customHeight="1" x14ac:dyDescent="0.4">
      <c r="A23" s="554" t="s">
        <v>38</v>
      </c>
      <c r="B23" s="556"/>
      <c r="C23" s="552"/>
      <c r="D23" s="552"/>
      <c r="E23" s="552"/>
      <c r="F23" s="552"/>
      <c r="G23" s="552"/>
      <c r="H23" s="552"/>
    </row>
    <row r="24" spans="1:8" ht="18.75" customHeight="1" x14ac:dyDescent="0.3">
      <c r="A24" s="554"/>
      <c r="B24" s="557"/>
      <c r="C24" s="552"/>
      <c r="D24" s="552"/>
      <c r="E24" s="552"/>
      <c r="F24" s="552"/>
      <c r="G24" s="552"/>
      <c r="H24" s="552"/>
    </row>
    <row r="25" spans="1:8" ht="18.75" customHeight="1" x14ac:dyDescent="0.3">
      <c r="A25" s="558" t="s">
        <v>1</v>
      </c>
      <c r="B25" s="557"/>
      <c r="C25" s="552"/>
      <c r="D25" s="552"/>
      <c r="E25" s="552"/>
      <c r="F25" s="552"/>
      <c r="G25" s="552"/>
      <c r="H25" s="552"/>
    </row>
    <row r="26" spans="1:8" ht="26.25" customHeight="1" x14ac:dyDescent="0.4">
      <c r="A26" s="559" t="s">
        <v>4</v>
      </c>
      <c r="B26" s="1012"/>
      <c r="C26" s="1012"/>
      <c r="D26" s="552"/>
      <c r="E26" s="552"/>
      <c r="F26" s="552"/>
      <c r="G26" s="552"/>
      <c r="H26" s="552"/>
    </row>
    <row r="27" spans="1:8" ht="26.25" customHeight="1" x14ac:dyDescent="0.4">
      <c r="A27" s="560" t="s">
        <v>51</v>
      </c>
      <c r="B27" s="983"/>
      <c r="C27" s="983"/>
      <c r="D27" s="552"/>
      <c r="E27" s="552"/>
      <c r="F27" s="552"/>
      <c r="G27" s="552"/>
      <c r="H27" s="552"/>
    </row>
    <row r="28" spans="1:8" ht="27" customHeight="1" x14ac:dyDescent="0.4">
      <c r="A28" s="560" t="s">
        <v>6</v>
      </c>
      <c r="B28" s="561"/>
      <c r="C28" s="552"/>
      <c r="D28" s="552"/>
      <c r="E28" s="552"/>
      <c r="F28" s="552"/>
      <c r="G28" s="552"/>
      <c r="H28" s="552"/>
    </row>
    <row r="29" spans="1:8" ht="27" customHeight="1" x14ac:dyDescent="0.4">
      <c r="A29" s="560" t="s">
        <v>52</v>
      </c>
      <c r="B29" s="562">
        <v>0</v>
      </c>
      <c r="C29" s="984" t="s">
        <v>127</v>
      </c>
      <c r="D29" s="985"/>
      <c r="E29" s="985"/>
      <c r="F29" s="985"/>
      <c r="G29" s="985"/>
      <c r="H29" s="986"/>
    </row>
    <row r="30" spans="1:8" ht="19.5" customHeight="1" x14ac:dyDescent="0.3">
      <c r="A30" s="560" t="s">
        <v>54</v>
      </c>
      <c r="B30" s="563">
        <f>B28-B29</f>
        <v>0</v>
      </c>
      <c r="C30" s="564"/>
      <c r="D30" s="564"/>
      <c r="E30" s="564"/>
      <c r="F30" s="564"/>
      <c r="G30" s="564"/>
      <c r="H30" s="565"/>
    </row>
    <row r="31" spans="1:8" ht="27" customHeight="1" x14ac:dyDescent="0.4">
      <c r="A31" s="560" t="s">
        <v>55</v>
      </c>
      <c r="B31" s="566">
        <v>1</v>
      </c>
      <c r="C31" s="987" t="s">
        <v>56</v>
      </c>
      <c r="D31" s="988"/>
      <c r="E31" s="988"/>
      <c r="F31" s="988"/>
      <c r="G31" s="988"/>
      <c r="H31" s="989"/>
    </row>
    <row r="32" spans="1:8" ht="27" customHeight="1" x14ac:dyDescent="0.4">
      <c r="A32" s="560" t="s">
        <v>57</v>
      </c>
      <c r="B32" s="566">
        <v>1</v>
      </c>
      <c r="C32" s="987" t="s">
        <v>58</v>
      </c>
      <c r="D32" s="988"/>
      <c r="E32" s="988"/>
      <c r="F32" s="988"/>
      <c r="G32" s="988"/>
      <c r="H32" s="989"/>
    </row>
    <row r="33" spans="1:8" ht="18.75" customHeight="1" x14ac:dyDescent="0.3">
      <c r="A33" s="560"/>
      <c r="B33" s="567"/>
      <c r="C33" s="568"/>
      <c r="D33" s="568"/>
      <c r="E33" s="568"/>
      <c r="F33" s="568"/>
      <c r="G33" s="568"/>
      <c r="H33" s="568"/>
    </row>
    <row r="34" spans="1:8" ht="18.75" customHeight="1" x14ac:dyDescent="0.3">
      <c r="A34" s="560" t="s">
        <v>59</v>
      </c>
      <c r="B34" s="569">
        <f>B31/B32</f>
        <v>1</v>
      </c>
      <c r="C34" s="552" t="s">
        <v>60</v>
      </c>
      <c r="D34" s="552"/>
      <c r="E34" s="552"/>
      <c r="F34" s="552"/>
      <c r="G34" s="552"/>
      <c r="H34" s="570"/>
    </row>
    <row r="35" spans="1:8" ht="19.5" customHeight="1" x14ac:dyDescent="0.3">
      <c r="A35" s="560"/>
      <c r="B35" s="563"/>
      <c r="C35" s="570"/>
      <c r="D35" s="570"/>
      <c r="E35" s="570"/>
      <c r="F35" s="570"/>
      <c r="G35" s="552"/>
      <c r="H35" s="570"/>
    </row>
    <row r="36" spans="1:8" ht="27" customHeight="1" x14ac:dyDescent="0.4">
      <c r="A36" s="571" t="s">
        <v>128</v>
      </c>
      <c r="B36" s="572">
        <v>1</v>
      </c>
      <c r="C36" s="552"/>
      <c r="D36" s="990" t="s">
        <v>62</v>
      </c>
      <c r="E36" s="991"/>
      <c r="F36" s="990" t="s">
        <v>63</v>
      </c>
      <c r="G36" s="992"/>
      <c r="H36" s="570"/>
    </row>
    <row r="37" spans="1:8" ht="26.25" customHeight="1" x14ac:dyDescent="0.4">
      <c r="A37" s="573" t="s">
        <v>64</v>
      </c>
      <c r="B37" s="574">
        <v>1</v>
      </c>
      <c r="C37" s="575" t="s">
        <v>65</v>
      </c>
      <c r="D37" s="576" t="s">
        <v>66</v>
      </c>
      <c r="E37" s="577" t="s">
        <v>67</v>
      </c>
      <c r="F37" s="576" t="s">
        <v>66</v>
      </c>
      <c r="G37" s="578" t="s">
        <v>67</v>
      </c>
      <c r="H37" s="570"/>
    </row>
    <row r="38" spans="1:8" ht="26.25" customHeight="1" x14ac:dyDescent="0.4">
      <c r="A38" s="573" t="s">
        <v>69</v>
      </c>
      <c r="B38" s="574">
        <v>1</v>
      </c>
      <c r="C38" s="579">
        <v>1</v>
      </c>
      <c r="D38" s="580"/>
      <c r="E38" s="581" t="str">
        <f>IF(ISBLANK(D38),"-",$D$48/$D$45*D38)</f>
        <v>-</v>
      </c>
      <c r="F38" s="580"/>
      <c r="G38" s="582" t="str">
        <f>IF(ISBLANK(F38),"-",$D$48/$F$45*F38)</f>
        <v>-</v>
      </c>
      <c r="H38" s="570"/>
    </row>
    <row r="39" spans="1:8" ht="26.25" customHeight="1" x14ac:dyDescent="0.4">
      <c r="A39" s="573" t="s">
        <v>70</v>
      </c>
      <c r="B39" s="574">
        <v>1</v>
      </c>
      <c r="C39" s="583">
        <v>2</v>
      </c>
      <c r="D39" s="584"/>
      <c r="E39" s="585" t="str">
        <f>IF(ISBLANK(D39),"-",$D$48/$D$45*D39)</f>
        <v>-</v>
      </c>
      <c r="F39" s="584"/>
      <c r="G39" s="586" t="str">
        <f>IF(ISBLANK(F39),"-",$D$48/$F$45*F39)</f>
        <v>-</v>
      </c>
      <c r="H39" s="570"/>
    </row>
    <row r="40" spans="1:8" ht="26.25" customHeight="1" x14ac:dyDescent="0.4">
      <c r="A40" s="573" t="s">
        <v>71</v>
      </c>
      <c r="B40" s="574">
        <v>1</v>
      </c>
      <c r="C40" s="583">
        <v>3</v>
      </c>
      <c r="D40" s="584"/>
      <c r="E40" s="585" t="str">
        <f>IF(ISBLANK(D40),"-",$D$48/$D$45*D40)</f>
        <v>-</v>
      </c>
      <c r="F40" s="584"/>
      <c r="G40" s="586" t="str">
        <f>IF(ISBLANK(F40),"-",$D$48/$F$45*F40)</f>
        <v>-</v>
      </c>
      <c r="H40" s="552"/>
    </row>
    <row r="41" spans="1:8" ht="26.25" customHeight="1" x14ac:dyDescent="0.4">
      <c r="A41" s="573" t="s">
        <v>72</v>
      </c>
      <c r="B41" s="574">
        <v>1</v>
      </c>
      <c r="C41" s="587">
        <v>4</v>
      </c>
      <c r="D41" s="588"/>
      <c r="E41" s="589" t="str">
        <f>IF(ISBLANK(D41),"-",$D$48/$D$45*D41)</f>
        <v>-</v>
      </c>
      <c r="F41" s="588"/>
      <c r="G41" s="590" t="str">
        <f>IF(ISBLANK(F41),"-",$D$48/$F$45*F41)</f>
        <v>-</v>
      </c>
      <c r="H41" s="552"/>
    </row>
    <row r="42" spans="1:8" ht="27" customHeight="1" x14ac:dyDescent="0.4">
      <c r="A42" s="573" t="s">
        <v>73</v>
      </c>
      <c r="B42" s="574">
        <v>1</v>
      </c>
      <c r="C42" s="591" t="s">
        <v>74</v>
      </c>
      <c r="D42" s="592" t="e">
        <f>AVERAGE(D38:D41)</f>
        <v>#DIV/0!</v>
      </c>
      <c r="E42" s="593" t="e">
        <f>AVERAGE(E38:E41)</f>
        <v>#DIV/0!</v>
      </c>
      <c r="F42" s="592" t="e">
        <f>AVERAGE(F38:F41)</f>
        <v>#DIV/0!</v>
      </c>
      <c r="G42" s="594" t="e">
        <f>AVERAGE(G38:G41)</f>
        <v>#DIV/0!</v>
      </c>
      <c r="H42" s="595"/>
    </row>
    <row r="43" spans="1:8" ht="26.25" customHeight="1" x14ac:dyDescent="0.4">
      <c r="A43" s="573" t="s">
        <v>75</v>
      </c>
      <c r="B43" s="574">
        <v>1</v>
      </c>
      <c r="C43" s="596" t="s">
        <v>116</v>
      </c>
      <c r="D43" s="597"/>
      <c r="E43" s="598"/>
      <c r="F43" s="597"/>
      <c r="G43" s="552"/>
      <c r="H43" s="595"/>
    </row>
    <row r="44" spans="1:8" ht="26.25" customHeight="1" x14ac:dyDescent="0.4">
      <c r="A44" s="573" t="s">
        <v>77</v>
      </c>
      <c r="B44" s="574">
        <v>1</v>
      </c>
      <c r="C44" s="599" t="s">
        <v>117</v>
      </c>
      <c r="D44" s="600">
        <f>D43*$B$34</f>
        <v>0</v>
      </c>
      <c r="E44" s="601"/>
      <c r="F44" s="600">
        <f>F43*$B$34</f>
        <v>0</v>
      </c>
      <c r="G44" s="552"/>
      <c r="H44" s="595"/>
    </row>
    <row r="45" spans="1:8" ht="19.5" customHeight="1" x14ac:dyDescent="0.3">
      <c r="A45" s="573" t="s">
        <v>79</v>
      </c>
      <c r="B45" s="602">
        <f>(B44/B43)*(B42/B41)*(B40/B39)*(B38/B37)*B36</f>
        <v>1</v>
      </c>
      <c r="C45" s="599" t="s">
        <v>80</v>
      </c>
      <c r="D45" s="603">
        <f>D44*$B$30/100</f>
        <v>0</v>
      </c>
      <c r="E45" s="604"/>
      <c r="F45" s="603">
        <f>F44*$B$30/100</f>
        <v>0</v>
      </c>
      <c r="G45" s="552"/>
      <c r="H45" s="595"/>
    </row>
    <row r="46" spans="1:8" ht="19.5" customHeight="1" x14ac:dyDescent="0.3">
      <c r="A46" s="994" t="s">
        <v>81</v>
      </c>
      <c r="B46" s="995"/>
      <c r="C46" s="599" t="s">
        <v>82</v>
      </c>
      <c r="D46" s="600">
        <f>D45/$B$45</f>
        <v>0</v>
      </c>
      <c r="E46" s="604"/>
      <c r="F46" s="605">
        <f>F45/$B$45</f>
        <v>0</v>
      </c>
      <c r="G46" s="552"/>
      <c r="H46" s="595"/>
    </row>
    <row r="47" spans="1:8" ht="27" customHeight="1" x14ac:dyDescent="0.4">
      <c r="A47" s="996"/>
      <c r="B47" s="997"/>
      <c r="C47" s="606" t="s">
        <v>129</v>
      </c>
      <c r="D47" s="607"/>
      <c r="E47" s="552"/>
      <c r="F47" s="608"/>
      <c r="G47" s="552"/>
      <c r="H47" s="595"/>
    </row>
    <row r="48" spans="1:8" ht="18.75" customHeight="1" x14ac:dyDescent="0.3">
      <c r="A48" s="552"/>
      <c r="B48" s="552"/>
      <c r="C48" s="609" t="s">
        <v>84</v>
      </c>
      <c r="D48" s="600">
        <f>D47*$B$45</f>
        <v>0</v>
      </c>
      <c r="E48" s="552"/>
      <c r="F48" s="608"/>
      <c r="G48" s="552"/>
      <c r="H48" s="595"/>
    </row>
    <row r="49" spans="1:8" ht="19.5" customHeight="1" x14ac:dyDescent="0.3">
      <c r="A49" s="552"/>
      <c r="B49" s="552"/>
      <c r="C49" s="610" t="s">
        <v>85</v>
      </c>
      <c r="D49" s="611">
        <f>D48/B34</f>
        <v>0</v>
      </c>
      <c r="E49" s="552"/>
      <c r="F49" s="608"/>
      <c r="G49" s="552"/>
      <c r="H49" s="595"/>
    </row>
    <row r="50" spans="1:8" ht="18.75" customHeight="1" x14ac:dyDescent="0.3">
      <c r="A50" s="552"/>
      <c r="B50" s="552"/>
      <c r="C50" s="571" t="s">
        <v>86</v>
      </c>
      <c r="D50" s="612" t="e">
        <f>AVERAGE(E38:E41,G38:G41)</f>
        <v>#DIV/0!</v>
      </c>
      <c r="E50" s="552"/>
      <c r="F50" s="613"/>
      <c r="G50" s="552"/>
      <c r="H50" s="595"/>
    </row>
    <row r="51" spans="1:8" ht="18.75" customHeight="1" x14ac:dyDescent="0.3">
      <c r="A51" s="552"/>
      <c r="B51" s="552"/>
      <c r="C51" s="606" t="s">
        <v>87</v>
      </c>
      <c r="D51" s="614" t="e">
        <f>STDEV(E38:E41,G38:G41)/D50</f>
        <v>#DIV/0!</v>
      </c>
      <c r="E51" s="552"/>
      <c r="F51" s="613"/>
      <c r="G51" s="552"/>
      <c r="H51" s="595"/>
    </row>
    <row r="52" spans="1:8" ht="19.5" customHeight="1" x14ac:dyDescent="0.3">
      <c r="A52" s="552"/>
      <c r="B52" s="552"/>
      <c r="C52" s="615" t="s">
        <v>20</v>
      </c>
      <c r="D52" s="616">
        <f>COUNT(E38:E41,G38:G41)</f>
        <v>0</v>
      </c>
      <c r="E52" s="552"/>
      <c r="F52" s="613"/>
      <c r="G52" s="552"/>
      <c r="H52" s="552"/>
    </row>
    <row r="53" spans="1:8" ht="18.75" customHeight="1" x14ac:dyDescent="0.3">
      <c r="A53" s="552"/>
      <c r="B53" s="552"/>
      <c r="C53" s="552"/>
      <c r="D53" s="552"/>
      <c r="E53" s="552"/>
      <c r="F53" s="552"/>
      <c r="G53" s="552"/>
      <c r="H53" s="552"/>
    </row>
    <row r="54" spans="1:8" ht="18.75" customHeight="1" x14ac:dyDescent="0.3">
      <c r="A54" s="553" t="s">
        <v>1</v>
      </c>
      <c r="B54" s="617" t="s">
        <v>88</v>
      </c>
      <c r="C54" s="552"/>
      <c r="D54" s="552"/>
      <c r="E54" s="552"/>
      <c r="F54" s="552"/>
      <c r="G54" s="552"/>
      <c r="H54" s="552"/>
    </row>
    <row r="55" spans="1:8" ht="18.75" customHeight="1" x14ac:dyDescent="0.3">
      <c r="A55" s="552" t="s">
        <v>89</v>
      </c>
      <c r="B55" s="618">
        <f>B21</f>
        <v>0</v>
      </c>
      <c r="C55" s="552"/>
      <c r="D55" s="552"/>
      <c r="E55" s="552"/>
      <c r="F55" s="552"/>
      <c r="G55" s="552"/>
      <c r="H55" s="552"/>
    </row>
    <row r="56" spans="1:8" ht="26.25" customHeight="1" x14ac:dyDescent="0.4">
      <c r="A56" s="619" t="s">
        <v>130</v>
      </c>
      <c r="B56" s="620"/>
      <c r="C56" s="552">
        <f>B20</f>
        <v>0</v>
      </c>
      <c r="D56" s="552"/>
      <c r="E56" s="552"/>
      <c r="F56" s="552"/>
      <c r="G56" s="552"/>
      <c r="H56" s="621"/>
    </row>
    <row r="57" spans="1:8" ht="18.75" customHeight="1" x14ac:dyDescent="0.3">
      <c r="A57" s="618" t="s">
        <v>131</v>
      </c>
      <c r="B57" s="622"/>
      <c r="C57" s="552"/>
      <c r="D57" s="552"/>
      <c r="E57" s="552"/>
      <c r="F57" s="552"/>
      <c r="G57" s="552"/>
      <c r="H57" s="621"/>
    </row>
    <row r="58" spans="1:8" ht="19.5" customHeight="1" x14ac:dyDescent="0.3">
      <c r="A58" s="552"/>
      <c r="B58" s="552"/>
      <c r="C58" s="552"/>
      <c r="D58" s="552"/>
      <c r="E58" s="552"/>
      <c r="F58" s="552"/>
      <c r="G58" s="552"/>
      <c r="H58" s="621"/>
    </row>
    <row r="59" spans="1:8" ht="27" customHeight="1" x14ac:dyDescent="0.4">
      <c r="A59" s="571" t="s">
        <v>132</v>
      </c>
      <c r="B59" s="572">
        <v>1</v>
      </c>
      <c r="C59" s="552"/>
      <c r="D59" s="623" t="s">
        <v>133</v>
      </c>
      <c r="E59" s="624" t="s">
        <v>65</v>
      </c>
      <c r="F59" s="624" t="s">
        <v>66</v>
      </c>
      <c r="G59" s="624" t="s">
        <v>94</v>
      </c>
      <c r="H59" s="575" t="s">
        <v>95</v>
      </c>
    </row>
    <row r="60" spans="1:8" ht="26.25" customHeight="1" x14ac:dyDescent="0.4">
      <c r="A60" s="573" t="s">
        <v>124</v>
      </c>
      <c r="B60" s="574">
        <v>1</v>
      </c>
      <c r="C60" s="998" t="s">
        <v>97</v>
      </c>
      <c r="D60" s="1001"/>
      <c r="E60" s="625">
        <v>1</v>
      </c>
      <c r="F60" s="626"/>
      <c r="G60" s="627" t="str">
        <f>IF(ISBLANK(F60),"-",(F60/$D$50*$D$47*$B$68)*($B$57/$D$60))</f>
        <v>-</v>
      </c>
      <c r="H60" s="628" t="str">
        <f t="shared" ref="H60:H71" si="0">IF(ISBLANK(F60),"-",G60/$B$56)</f>
        <v>-</v>
      </c>
    </row>
    <row r="61" spans="1:8" ht="26.25" customHeight="1" x14ac:dyDescent="0.4">
      <c r="A61" s="573" t="s">
        <v>98</v>
      </c>
      <c r="B61" s="574">
        <v>1</v>
      </c>
      <c r="C61" s="999"/>
      <c r="D61" s="1002"/>
      <c r="E61" s="629">
        <v>2</v>
      </c>
      <c r="F61" s="584"/>
      <c r="G61" s="630" t="str">
        <f>IF(ISBLANK(F61),"-",(F61/$D$50*$D$47*$B$68)*($B$57/$D$60))</f>
        <v>-</v>
      </c>
      <c r="H61" s="631" t="str">
        <f t="shared" si="0"/>
        <v>-</v>
      </c>
    </row>
    <row r="62" spans="1:8" ht="26.25" customHeight="1" x14ac:dyDescent="0.4">
      <c r="A62" s="573" t="s">
        <v>99</v>
      </c>
      <c r="B62" s="574">
        <v>1</v>
      </c>
      <c r="C62" s="999"/>
      <c r="D62" s="1002"/>
      <c r="E62" s="629">
        <v>3</v>
      </c>
      <c r="F62" s="584"/>
      <c r="G62" s="630" t="str">
        <f>IF(ISBLANK(F62),"-",(F62/$D$50*$D$47*$B$68)*($B$57/$D$60))</f>
        <v>-</v>
      </c>
      <c r="H62" s="631" t="str">
        <f t="shared" si="0"/>
        <v>-</v>
      </c>
    </row>
    <row r="63" spans="1:8" ht="27" customHeight="1" x14ac:dyDescent="0.4">
      <c r="A63" s="573" t="s">
        <v>100</v>
      </c>
      <c r="B63" s="574">
        <v>1</v>
      </c>
      <c r="C63" s="1000"/>
      <c r="D63" s="1003"/>
      <c r="E63" s="632">
        <v>4</v>
      </c>
      <c r="F63" s="633"/>
      <c r="G63" s="630" t="str">
        <f>IF(ISBLANK(F63),"-",(F63/$D$50*$D$47*$B$68)*($B$57/$D$60))</f>
        <v>-</v>
      </c>
      <c r="H63" s="631" t="str">
        <f t="shared" si="0"/>
        <v>-</v>
      </c>
    </row>
    <row r="64" spans="1:8" ht="26.25" customHeight="1" x14ac:dyDescent="0.4">
      <c r="A64" s="573" t="s">
        <v>101</v>
      </c>
      <c r="B64" s="574">
        <v>1</v>
      </c>
      <c r="C64" s="998" t="s">
        <v>102</v>
      </c>
      <c r="D64" s="1001"/>
      <c r="E64" s="625">
        <v>1</v>
      </c>
      <c r="F64" s="626"/>
      <c r="G64" s="634" t="str">
        <f>IF(ISBLANK(F64),"-",(F64/$D$50*$D$47*$B$68)*($B$57/$D$64))</f>
        <v>-</v>
      </c>
      <c r="H64" s="635" t="str">
        <f t="shared" si="0"/>
        <v>-</v>
      </c>
    </row>
    <row r="65" spans="1:8" ht="26.25" customHeight="1" x14ac:dyDescent="0.4">
      <c r="A65" s="573" t="s">
        <v>103</v>
      </c>
      <c r="B65" s="574">
        <v>1</v>
      </c>
      <c r="C65" s="999"/>
      <c r="D65" s="1002"/>
      <c r="E65" s="629">
        <v>2</v>
      </c>
      <c r="F65" s="584"/>
      <c r="G65" s="636" t="str">
        <f>IF(ISBLANK(F65),"-",(F65/$D$50*$D$47*$B$68)*($B$57/$D$64))</f>
        <v>-</v>
      </c>
      <c r="H65" s="637" t="str">
        <f t="shared" si="0"/>
        <v>-</v>
      </c>
    </row>
    <row r="66" spans="1:8" ht="26.25" customHeight="1" x14ac:dyDescent="0.4">
      <c r="A66" s="573" t="s">
        <v>104</v>
      </c>
      <c r="B66" s="574">
        <v>1</v>
      </c>
      <c r="C66" s="999"/>
      <c r="D66" s="1002"/>
      <c r="E66" s="629">
        <v>3</v>
      </c>
      <c r="F66" s="584"/>
      <c r="G66" s="636" t="str">
        <f>IF(ISBLANK(F66),"-",(F66/$D$50*$D$47*$B$68)*($B$57/$D$64))</f>
        <v>-</v>
      </c>
      <c r="H66" s="637" t="str">
        <f t="shared" si="0"/>
        <v>-</v>
      </c>
    </row>
    <row r="67" spans="1:8" ht="27" customHeight="1" x14ac:dyDescent="0.4">
      <c r="A67" s="573" t="s">
        <v>105</v>
      </c>
      <c r="B67" s="574">
        <v>1</v>
      </c>
      <c r="C67" s="1000"/>
      <c r="D67" s="1003"/>
      <c r="E67" s="632">
        <v>4</v>
      </c>
      <c r="F67" s="633"/>
      <c r="G67" s="638" t="str">
        <f>IF(ISBLANK(F67),"-",(F67/$D$50*$D$47*$B$68)*($B$57/$D$64))</f>
        <v>-</v>
      </c>
      <c r="H67" s="639" t="str">
        <f t="shared" si="0"/>
        <v>-</v>
      </c>
    </row>
    <row r="68" spans="1:8" ht="26.25" customHeight="1" x14ac:dyDescent="0.4">
      <c r="A68" s="573" t="s">
        <v>106</v>
      </c>
      <c r="B68" s="640">
        <f>(B67/B66)*(B65/B64)*(B63/B62)*(B61/B60)*B59</f>
        <v>1</v>
      </c>
      <c r="C68" s="998" t="s">
        <v>107</v>
      </c>
      <c r="D68" s="1001"/>
      <c r="E68" s="625">
        <v>1</v>
      </c>
      <c r="F68" s="626"/>
      <c r="G68" s="634" t="str">
        <f>IF(ISBLANK(F68),"-",(F68/$D$50*$D$47*$B$68)*($B$57/$D$68))</f>
        <v>-</v>
      </c>
      <c r="H68" s="631" t="str">
        <f t="shared" si="0"/>
        <v>-</v>
      </c>
    </row>
    <row r="69" spans="1:8" ht="27" customHeight="1" x14ac:dyDescent="0.4">
      <c r="A69" s="615" t="s">
        <v>108</v>
      </c>
      <c r="B69" s="641" t="e">
        <f>(D47*B68)/B56*B57</f>
        <v>#DIV/0!</v>
      </c>
      <c r="C69" s="999"/>
      <c r="D69" s="1002"/>
      <c r="E69" s="629">
        <v>2</v>
      </c>
      <c r="F69" s="584"/>
      <c r="G69" s="636" t="str">
        <f>IF(ISBLANK(F69),"-",(F69/$D$50*$D$47*$B$68)*($B$57/$D$68))</f>
        <v>-</v>
      </c>
      <c r="H69" s="631" t="str">
        <f t="shared" si="0"/>
        <v>-</v>
      </c>
    </row>
    <row r="70" spans="1:8" ht="26.25" customHeight="1" x14ac:dyDescent="0.4">
      <c r="A70" s="994" t="s">
        <v>81</v>
      </c>
      <c r="B70" s="995"/>
      <c r="C70" s="999"/>
      <c r="D70" s="1002"/>
      <c r="E70" s="629">
        <v>3</v>
      </c>
      <c r="F70" s="584"/>
      <c r="G70" s="636" t="str">
        <f>IF(ISBLANK(F70),"-",(F70/$D$50*$D$47*$B$68)*($B$57/$D$68))</f>
        <v>-</v>
      </c>
      <c r="H70" s="631" t="str">
        <f t="shared" si="0"/>
        <v>-</v>
      </c>
    </row>
    <row r="71" spans="1:8" ht="27" customHeight="1" x14ac:dyDescent="0.4">
      <c r="A71" s="996"/>
      <c r="B71" s="997"/>
      <c r="C71" s="1006"/>
      <c r="D71" s="1003"/>
      <c r="E71" s="632">
        <v>4</v>
      </c>
      <c r="F71" s="633"/>
      <c r="G71" s="638" t="str">
        <f>IF(ISBLANK(F71),"-",(F71/$D$50*$D$47*$B$68)*($B$57/$D$68))</f>
        <v>-</v>
      </c>
      <c r="H71" s="642" t="str">
        <f t="shared" si="0"/>
        <v>-</v>
      </c>
    </row>
    <row r="72" spans="1:8" ht="26.25" customHeight="1" x14ac:dyDescent="0.4">
      <c r="A72" s="643"/>
      <c r="B72" s="643"/>
      <c r="C72" s="643"/>
      <c r="D72" s="643"/>
      <c r="E72" s="643"/>
      <c r="F72" s="644"/>
      <c r="G72" s="645" t="s">
        <v>74</v>
      </c>
      <c r="H72" s="646" t="e">
        <f>AVERAGE(H60:H71)</f>
        <v>#DIV/0!</v>
      </c>
    </row>
    <row r="73" spans="1:8" ht="26.25" customHeight="1" x14ac:dyDescent="0.4">
      <c r="A73" s="552"/>
      <c r="B73" s="552"/>
      <c r="C73" s="643"/>
      <c r="D73" s="643"/>
      <c r="E73" s="643"/>
      <c r="F73" s="644"/>
      <c r="G73" s="647" t="s">
        <v>87</v>
      </c>
      <c r="H73" s="648" t="e">
        <f>STDEV(H60:H71)/H72</f>
        <v>#DIV/0!</v>
      </c>
    </row>
    <row r="74" spans="1:8" ht="27" customHeight="1" x14ac:dyDescent="0.4">
      <c r="A74" s="643"/>
      <c r="B74" s="643"/>
      <c r="C74" s="644"/>
      <c r="D74" s="644"/>
      <c r="E74" s="649"/>
      <c r="F74" s="644"/>
      <c r="G74" s="650" t="s">
        <v>20</v>
      </c>
      <c r="H74" s="651">
        <f>COUNT(H60:H71)</f>
        <v>0</v>
      </c>
    </row>
    <row r="75" spans="1:8" ht="18.75" customHeight="1" x14ac:dyDescent="0.3">
      <c r="A75" s="652"/>
      <c r="B75" s="652"/>
      <c r="C75" s="601"/>
      <c r="D75" s="601"/>
      <c r="E75" s="604"/>
      <c r="F75" s="601"/>
      <c r="G75" s="653"/>
      <c r="H75" s="654"/>
    </row>
    <row r="76" spans="1:8" ht="26.25" customHeight="1" x14ac:dyDescent="0.4">
      <c r="A76" s="559" t="s">
        <v>109</v>
      </c>
      <c r="B76" s="655" t="s">
        <v>110</v>
      </c>
      <c r="C76" s="1011">
        <f>B20</f>
        <v>0</v>
      </c>
      <c r="D76" s="1011"/>
      <c r="E76" s="656" t="s">
        <v>111</v>
      </c>
      <c r="F76" s="656"/>
      <c r="G76" s="657" t="e">
        <f>H72</f>
        <v>#DIV/0!</v>
      </c>
      <c r="H76" s="654"/>
    </row>
    <row r="77" spans="1:8" ht="19.5" customHeight="1" x14ac:dyDescent="0.3">
      <c r="A77" s="658"/>
      <c r="B77" s="658"/>
      <c r="C77" s="659"/>
      <c r="D77" s="659"/>
      <c r="E77" s="659"/>
      <c r="F77" s="659"/>
      <c r="G77" s="659"/>
      <c r="H77" s="659"/>
    </row>
    <row r="78" spans="1:8" ht="18.75" customHeight="1" x14ac:dyDescent="0.3">
      <c r="A78" s="552"/>
      <c r="B78" s="1013" t="s">
        <v>26</v>
      </c>
      <c r="C78" s="1013"/>
      <c r="D78" s="552"/>
      <c r="E78" s="660" t="s">
        <v>27</v>
      </c>
      <c r="F78" s="661"/>
      <c r="G78" s="1013" t="s">
        <v>28</v>
      </c>
      <c r="H78" s="1013"/>
    </row>
    <row r="79" spans="1:8" ht="18.75" customHeight="1" x14ac:dyDescent="0.3">
      <c r="A79" s="662" t="s">
        <v>29</v>
      </c>
      <c r="B79" s="663"/>
      <c r="C79" s="663"/>
      <c r="D79" s="552"/>
      <c r="E79" s="664"/>
      <c r="F79" s="665"/>
      <c r="G79" s="666"/>
      <c r="H79" s="666"/>
    </row>
    <row r="80" spans="1:8" ht="18.75" customHeight="1" x14ac:dyDescent="0.3">
      <c r="A80" s="662" t="s">
        <v>30</v>
      </c>
      <c r="B80" s="667"/>
      <c r="C80" s="667"/>
      <c r="D80" s="552"/>
      <c r="E80" s="668"/>
      <c r="F80" s="665"/>
      <c r="G80" s="669"/>
      <c r="H80" s="669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43" priority="1" operator="greaterThan">
      <formula>0.02</formula>
    </cfRule>
  </conditionalFormatting>
  <conditionalFormatting sqref="H73">
    <cfRule type="cellIs" dxfId="42" priority="2" operator="greaterThan">
      <formula>0.02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31" zoomScale="78" zoomScaleNormal="78" workbookViewId="0">
      <selection activeCell="H73" sqref="H73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ht="18.75" customHeight="1" x14ac:dyDescent="0.3">
      <c r="A1" s="670"/>
      <c r="B1" s="670"/>
      <c r="C1" s="670"/>
      <c r="D1" s="670"/>
      <c r="E1" s="670"/>
      <c r="F1" s="670"/>
      <c r="G1" s="670"/>
      <c r="H1" s="670"/>
    </row>
    <row r="2" spans="1:8" ht="18.75" customHeight="1" x14ac:dyDescent="0.3">
      <c r="A2" s="670"/>
      <c r="B2" s="670"/>
      <c r="C2" s="670"/>
      <c r="D2" s="670"/>
      <c r="E2" s="670"/>
      <c r="F2" s="670"/>
      <c r="G2" s="670"/>
      <c r="H2" s="670"/>
    </row>
    <row r="3" spans="1:8" ht="18.75" customHeight="1" x14ac:dyDescent="0.3">
      <c r="A3" s="670"/>
      <c r="B3" s="670"/>
      <c r="C3" s="670"/>
      <c r="D3" s="670"/>
      <c r="E3" s="670"/>
      <c r="F3" s="670"/>
      <c r="G3" s="670"/>
      <c r="H3" s="670"/>
    </row>
    <row r="4" spans="1:8" ht="18.75" customHeight="1" x14ac:dyDescent="0.3">
      <c r="A4" s="670"/>
      <c r="B4" s="670"/>
      <c r="C4" s="670"/>
      <c r="D4" s="670"/>
      <c r="E4" s="670"/>
      <c r="F4" s="670"/>
      <c r="G4" s="670"/>
      <c r="H4" s="670"/>
    </row>
    <row r="5" spans="1:8" ht="18.75" customHeight="1" x14ac:dyDescent="0.3">
      <c r="A5" s="670"/>
      <c r="B5" s="670"/>
      <c r="C5" s="670"/>
      <c r="D5" s="670"/>
      <c r="E5" s="670"/>
      <c r="F5" s="670"/>
      <c r="G5" s="670"/>
      <c r="H5" s="670"/>
    </row>
    <row r="6" spans="1:8" ht="18.75" customHeight="1" x14ac:dyDescent="0.3">
      <c r="A6" s="670"/>
      <c r="B6" s="670"/>
      <c r="C6" s="670"/>
      <c r="D6" s="670"/>
      <c r="E6" s="670"/>
      <c r="F6" s="670"/>
      <c r="G6" s="670"/>
      <c r="H6" s="670"/>
    </row>
    <row r="7" spans="1:8" ht="18.75" customHeight="1" x14ac:dyDescent="0.3">
      <c r="A7" s="670"/>
      <c r="B7" s="670"/>
      <c r="C7" s="670"/>
      <c r="D7" s="670"/>
      <c r="E7" s="670"/>
      <c r="F7" s="670"/>
      <c r="G7" s="670"/>
      <c r="H7" s="670"/>
    </row>
    <row r="8" spans="1:8" ht="18.75" customHeight="1" x14ac:dyDescent="0.3">
      <c r="A8" s="670"/>
      <c r="B8" s="670"/>
      <c r="C8" s="670"/>
      <c r="D8" s="670"/>
      <c r="E8" s="670"/>
      <c r="F8" s="670"/>
      <c r="G8" s="670"/>
      <c r="H8" s="670"/>
    </row>
    <row r="9" spans="1:8" ht="18.75" customHeight="1" x14ac:dyDescent="0.3">
      <c r="A9" s="670"/>
      <c r="B9" s="670"/>
      <c r="C9" s="670"/>
      <c r="D9" s="670"/>
      <c r="E9" s="670"/>
      <c r="F9" s="670"/>
      <c r="G9" s="670"/>
      <c r="H9" s="670"/>
    </row>
    <row r="10" spans="1:8" ht="18.75" customHeight="1" x14ac:dyDescent="0.3">
      <c r="A10" s="670"/>
      <c r="B10" s="670"/>
      <c r="C10" s="670"/>
      <c r="D10" s="670"/>
      <c r="E10" s="670"/>
      <c r="F10" s="670"/>
      <c r="G10" s="670"/>
      <c r="H10" s="670"/>
    </row>
    <row r="11" spans="1:8" ht="18.75" customHeight="1" x14ac:dyDescent="0.3">
      <c r="A11" s="670"/>
      <c r="B11" s="670"/>
      <c r="C11" s="670"/>
      <c r="D11" s="670"/>
      <c r="E11" s="670"/>
      <c r="F11" s="670"/>
      <c r="G11" s="670"/>
      <c r="H11" s="670"/>
    </row>
    <row r="12" spans="1:8" ht="18.75" customHeight="1" x14ac:dyDescent="0.3">
      <c r="A12" s="670"/>
      <c r="B12" s="670"/>
      <c r="C12" s="670"/>
      <c r="D12" s="670"/>
      <c r="E12" s="670"/>
      <c r="F12" s="670"/>
      <c r="G12" s="670"/>
      <c r="H12" s="670"/>
    </row>
    <row r="13" spans="1:8" ht="18.75" customHeight="1" x14ac:dyDescent="0.3">
      <c r="A13" s="670"/>
      <c r="B13" s="670"/>
      <c r="C13" s="670"/>
      <c r="D13" s="670"/>
      <c r="E13" s="670"/>
      <c r="F13" s="670"/>
      <c r="G13" s="670"/>
      <c r="H13" s="670"/>
    </row>
    <row r="14" spans="1:8" ht="18.75" customHeight="1" x14ac:dyDescent="0.3">
      <c r="A14" s="670"/>
      <c r="B14" s="670"/>
      <c r="C14" s="670"/>
      <c r="D14" s="670"/>
      <c r="E14" s="670"/>
      <c r="F14" s="670"/>
      <c r="G14" s="670"/>
      <c r="H14" s="670"/>
    </row>
    <row r="15" spans="1:8" ht="19.5" customHeight="1" x14ac:dyDescent="0.3">
      <c r="A15" s="670"/>
      <c r="B15" s="670"/>
      <c r="C15" s="670"/>
      <c r="D15" s="670"/>
      <c r="E15" s="670"/>
      <c r="F15" s="670"/>
      <c r="G15" s="670"/>
      <c r="H15" s="670"/>
    </row>
    <row r="16" spans="1:8" ht="19.5" customHeight="1" x14ac:dyDescent="0.3">
      <c r="A16" s="978" t="s">
        <v>31</v>
      </c>
      <c r="B16" s="979"/>
      <c r="C16" s="979"/>
      <c r="D16" s="979"/>
      <c r="E16" s="979"/>
      <c r="F16" s="979"/>
      <c r="G16" s="979"/>
      <c r="H16" s="980"/>
    </row>
    <row r="17" spans="1:8" ht="18.75" customHeight="1" x14ac:dyDescent="0.3">
      <c r="A17" s="671" t="s">
        <v>50</v>
      </c>
      <c r="B17" s="671"/>
      <c r="C17" s="670"/>
      <c r="D17" s="670"/>
      <c r="E17" s="670"/>
      <c r="F17" s="670"/>
      <c r="G17" s="670"/>
      <c r="H17" s="670"/>
    </row>
    <row r="18" spans="1:8" ht="26.25" customHeight="1" x14ac:dyDescent="0.4">
      <c r="A18" s="672" t="s">
        <v>33</v>
      </c>
      <c r="B18" s="1012"/>
      <c r="C18" s="1012"/>
      <c r="D18" s="1012"/>
      <c r="E18" s="1012"/>
      <c r="F18" s="670"/>
      <c r="G18" s="670"/>
      <c r="H18" s="670"/>
    </row>
    <row r="19" spans="1:8" ht="26.25" customHeight="1" x14ac:dyDescent="0.4">
      <c r="A19" s="672" t="s">
        <v>34</v>
      </c>
      <c r="B19" s="673"/>
      <c r="C19" s="670">
        <v>8</v>
      </c>
      <c r="D19" s="670"/>
      <c r="E19" s="670"/>
      <c r="F19" s="670"/>
      <c r="G19" s="670"/>
      <c r="H19" s="670"/>
    </row>
    <row r="20" spans="1:8" ht="26.25" customHeight="1" x14ac:dyDescent="0.4">
      <c r="A20" s="672" t="s">
        <v>35</v>
      </c>
      <c r="B20" s="673"/>
      <c r="C20" s="670"/>
      <c r="D20" s="670"/>
      <c r="E20" s="670"/>
      <c r="F20" s="670"/>
      <c r="G20" s="670"/>
      <c r="H20" s="670"/>
    </row>
    <row r="21" spans="1:8" ht="26.25" customHeight="1" x14ac:dyDescent="0.4">
      <c r="A21" s="672" t="s">
        <v>36</v>
      </c>
      <c r="B21" s="983"/>
      <c r="C21" s="983"/>
      <c r="D21" s="983"/>
      <c r="E21" s="983"/>
      <c r="F21" s="983"/>
      <c r="G21" s="983"/>
      <c r="H21" s="983"/>
    </row>
    <row r="22" spans="1:8" ht="26.25" customHeight="1" x14ac:dyDescent="0.4">
      <c r="A22" s="672" t="s">
        <v>37</v>
      </c>
      <c r="B22" s="674"/>
      <c r="C22" s="670"/>
      <c r="D22" s="670"/>
      <c r="E22" s="670"/>
      <c r="F22" s="670"/>
      <c r="G22" s="670"/>
      <c r="H22" s="670"/>
    </row>
    <row r="23" spans="1:8" ht="26.25" customHeight="1" x14ac:dyDescent="0.4">
      <c r="A23" s="672" t="s">
        <v>38</v>
      </c>
      <c r="B23" s="674"/>
      <c r="C23" s="670"/>
      <c r="D23" s="670"/>
      <c r="E23" s="670"/>
      <c r="F23" s="670"/>
      <c r="G23" s="670"/>
      <c r="H23" s="670"/>
    </row>
    <row r="24" spans="1:8" ht="18.75" customHeight="1" x14ac:dyDescent="0.3">
      <c r="A24" s="672"/>
      <c r="B24" s="675"/>
      <c r="C24" s="670"/>
      <c r="D24" s="670"/>
      <c r="E24" s="670"/>
      <c r="F24" s="670"/>
      <c r="G24" s="670"/>
      <c r="H24" s="670"/>
    </row>
    <row r="25" spans="1:8" ht="18.75" customHeight="1" x14ac:dyDescent="0.3">
      <c r="A25" s="676" t="s">
        <v>1</v>
      </c>
      <c r="B25" s="675"/>
      <c r="C25" s="670"/>
      <c r="D25" s="670"/>
      <c r="E25" s="670"/>
      <c r="F25" s="670"/>
      <c r="G25" s="670"/>
      <c r="H25" s="670"/>
    </row>
    <row r="26" spans="1:8" ht="26.25" customHeight="1" x14ac:dyDescent="0.4">
      <c r="A26" s="677" t="s">
        <v>4</v>
      </c>
      <c r="B26" s="1012"/>
      <c r="C26" s="1012"/>
      <c r="D26" s="670"/>
      <c r="E26" s="670"/>
      <c r="F26" s="670"/>
      <c r="G26" s="670"/>
      <c r="H26" s="670"/>
    </row>
    <row r="27" spans="1:8" ht="26.25" customHeight="1" x14ac:dyDescent="0.4">
      <c r="A27" s="678" t="s">
        <v>51</v>
      </c>
      <c r="B27" s="983"/>
      <c r="C27" s="983"/>
      <c r="D27" s="670"/>
      <c r="E27" s="670"/>
      <c r="F27" s="670"/>
      <c r="G27" s="670"/>
      <c r="H27" s="670"/>
    </row>
    <row r="28" spans="1:8" ht="27" customHeight="1" x14ac:dyDescent="0.4">
      <c r="A28" s="678" t="s">
        <v>6</v>
      </c>
      <c r="B28" s="679"/>
      <c r="C28" s="670"/>
      <c r="D28" s="670"/>
      <c r="E28" s="670"/>
      <c r="F28" s="670"/>
      <c r="G28" s="670"/>
      <c r="H28" s="670"/>
    </row>
    <row r="29" spans="1:8" ht="27" customHeight="1" x14ac:dyDescent="0.4">
      <c r="A29" s="678" t="s">
        <v>52</v>
      </c>
      <c r="B29" s="680">
        <v>0</v>
      </c>
      <c r="C29" s="984" t="s">
        <v>127</v>
      </c>
      <c r="D29" s="985"/>
      <c r="E29" s="985"/>
      <c r="F29" s="985"/>
      <c r="G29" s="985"/>
      <c r="H29" s="986"/>
    </row>
    <row r="30" spans="1:8" ht="19.5" customHeight="1" x14ac:dyDescent="0.3">
      <c r="A30" s="678" t="s">
        <v>54</v>
      </c>
      <c r="B30" s="681">
        <f>B28-B29</f>
        <v>0</v>
      </c>
      <c r="C30" s="682"/>
      <c r="D30" s="682"/>
      <c r="E30" s="682"/>
      <c r="F30" s="682"/>
      <c r="G30" s="682"/>
      <c r="H30" s="683"/>
    </row>
    <row r="31" spans="1:8" ht="27" customHeight="1" x14ac:dyDescent="0.4">
      <c r="A31" s="678" t="s">
        <v>55</v>
      </c>
      <c r="B31" s="684">
        <v>1</v>
      </c>
      <c r="C31" s="987" t="s">
        <v>56</v>
      </c>
      <c r="D31" s="988"/>
      <c r="E31" s="988"/>
      <c r="F31" s="988"/>
      <c r="G31" s="988"/>
      <c r="H31" s="989"/>
    </row>
    <row r="32" spans="1:8" ht="27" customHeight="1" x14ac:dyDescent="0.4">
      <c r="A32" s="678" t="s">
        <v>57</v>
      </c>
      <c r="B32" s="684">
        <v>1</v>
      </c>
      <c r="C32" s="987" t="s">
        <v>58</v>
      </c>
      <c r="D32" s="988"/>
      <c r="E32" s="988"/>
      <c r="F32" s="988"/>
      <c r="G32" s="988"/>
      <c r="H32" s="989"/>
    </row>
    <row r="33" spans="1:8" ht="18.75" customHeight="1" x14ac:dyDescent="0.3">
      <c r="A33" s="678"/>
      <c r="B33" s="685"/>
      <c r="C33" s="686"/>
      <c r="D33" s="686"/>
      <c r="E33" s="686"/>
      <c r="F33" s="686"/>
      <c r="G33" s="686"/>
      <c r="H33" s="686"/>
    </row>
    <row r="34" spans="1:8" ht="18.75" customHeight="1" x14ac:dyDescent="0.3">
      <c r="A34" s="678" t="s">
        <v>59</v>
      </c>
      <c r="B34" s="687">
        <f>B31/B32</f>
        <v>1</v>
      </c>
      <c r="C34" s="670" t="s">
        <v>60</v>
      </c>
      <c r="D34" s="670"/>
      <c r="E34" s="670"/>
      <c r="F34" s="670"/>
      <c r="G34" s="670"/>
      <c r="H34" s="688"/>
    </row>
    <row r="35" spans="1:8" ht="19.5" customHeight="1" x14ac:dyDescent="0.3">
      <c r="A35" s="678"/>
      <c r="B35" s="681"/>
      <c r="C35" s="688"/>
      <c r="D35" s="688"/>
      <c r="E35" s="688"/>
      <c r="F35" s="688"/>
      <c r="G35" s="670"/>
      <c r="H35" s="688"/>
    </row>
    <row r="36" spans="1:8" ht="27" customHeight="1" x14ac:dyDescent="0.4">
      <c r="A36" s="689" t="s">
        <v>128</v>
      </c>
      <c r="B36" s="690">
        <v>1</v>
      </c>
      <c r="C36" s="670"/>
      <c r="D36" s="990" t="s">
        <v>62</v>
      </c>
      <c r="E36" s="991"/>
      <c r="F36" s="990" t="s">
        <v>63</v>
      </c>
      <c r="G36" s="992"/>
      <c r="H36" s="688"/>
    </row>
    <row r="37" spans="1:8" ht="26.25" customHeight="1" x14ac:dyDescent="0.4">
      <c r="A37" s="691" t="s">
        <v>64</v>
      </c>
      <c r="B37" s="692">
        <v>1</v>
      </c>
      <c r="C37" s="693" t="s">
        <v>65</v>
      </c>
      <c r="D37" s="694" t="s">
        <v>66</v>
      </c>
      <c r="E37" s="695" t="s">
        <v>67</v>
      </c>
      <c r="F37" s="694" t="s">
        <v>66</v>
      </c>
      <c r="G37" s="696" t="s">
        <v>67</v>
      </c>
      <c r="H37" s="688"/>
    </row>
    <row r="38" spans="1:8" ht="26.25" customHeight="1" x14ac:dyDescent="0.4">
      <c r="A38" s="691" t="s">
        <v>69</v>
      </c>
      <c r="B38" s="692">
        <v>1</v>
      </c>
      <c r="C38" s="697">
        <v>1</v>
      </c>
      <c r="D38" s="698"/>
      <c r="E38" s="699" t="str">
        <f>IF(ISBLANK(D38),"-",$D$48/$D$45*D38)</f>
        <v>-</v>
      </c>
      <c r="F38" s="698"/>
      <c r="G38" s="700" t="str">
        <f>IF(ISBLANK(F38),"-",$D$48/$F$45*F38)</f>
        <v>-</v>
      </c>
      <c r="H38" s="688"/>
    </row>
    <row r="39" spans="1:8" ht="26.25" customHeight="1" x14ac:dyDescent="0.4">
      <c r="A39" s="691" t="s">
        <v>70</v>
      </c>
      <c r="B39" s="692">
        <v>1</v>
      </c>
      <c r="C39" s="701">
        <v>2</v>
      </c>
      <c r="D39" s="702"/>
      <c r="E39" s="703" t="str">
        <f>IF(ISBLANK(D39),"-",$D$48/$D$45*D39)</f>
        <v>-</v>
      </c>
      <c r="F39" s="702"/>
      <c r="G39" s="704" t="str">
        <f>IF(ISBLANK(F39),"-",$D$48/$F$45*F39)</f>
        <v>-</v>
      </c>
      <c r="H39" s="688"/>
    </row>
    <row r="40" spans="1:8" ht="26.25" customHeight="1" x14ac:dyDescent="0.4">
      <c r="A40" s="691" t="s">
        <v>71</v>
      </c>
      <c r="B40" s="692">
        <v>1</v>
      </c>
      <c r="C40" s="701">
        <v>3</v>
      </c>
      <c r="D40" s="702"/>
      <c r="E40" s="703" t="str">
        <f>IF(ISBLANK(D40),"-",$D$48/$D$45*D40)</f>
        <v>-</v>
      </c>
      <c r="F40" s="702"/>
      <c r="G40" s="704" t="str">
        <f>IF(ISBLANK(F40),"-",$D$48/$F$45*F40)</f>
        <v>-</v>
      </c>
      <c r="H40" s="670"/>
    </row>
    <row r="41" spans="1:8" ht="26.25" customHeight="1" x14ac:dyDescent="0.4">
      <c r="A41" s="691" t="s">
        <v>72</v>
      </c>
      <c r="B41" s="692">
        <v>1</v>
      </c>
      <c r="C41" s="705">
        <v>4</v>
      </c>
      <c r="D41" s="706"/>
      <c r="E41" s="707" t="str">
        <f>IF(ISBLANK(D41),"-",$D$48/$D$45*D41)</f>
        <v>-</v>
      </c>
      <c r="F41" s="706"/>
      <c r="G41" s="708" t="str">
        <f>IF(ISBLANK(F41),"-",$D$48/$F$45*F41)</f>
        <v>-</v>
      </c>
      <c r="H41" s="670"/>
    </row>
    <row r="42" spans="1:8" ht="27" customHeight="1" x14ac:dyDescent="0.4">
      <c r="A42" s="691" t="s">
        <v>73</v>
      </c>
      <c r="B42" s="692">
        <v>1</v>
      </c>
      <c r="C42" s="709" t="s">
        <v>74</v>
      </c>
      <c r="D42" s="710" t="e">
        <f>AVERAGE(D38:D41)</f>
        <v>#DIV/0!</v>
      </c>
      <c r="E42" s="711" t="e">
        <f>AVERAGE(E38:E41)</f>
        <v>#DIV/0!</v>
      </c>
      <c r="F42" s="710" t="e">
        <f>AVERAGE(F38:F41)</f>
        <v>#DIV/0!</v>
      </c>
      <c r="G42" s="712" t="e">
        <f>AVERAGE(G38:G41)</f>
        <v>#DIV/0!</v>
      </c>
      <c r="H42" s="713"/>
    </row>
    <row r="43" spans="1:8" ht="26.25" customHeight="1" x14ac:dyDescent="0.4">
      <c r="A43" s="691" t="s">
        <v>75</v>
      </c>
      <c r="B43" s="692">
        <v>1</v>
      </c>
      <c r="C43" s="714" t="s">
        <v>116</v>
      </c>
      <c r="D43" s="715"/>
      <c r="E43" s="716"/>
      <c r="F43" s="715"/>
      <c r="G43" s="670"/>
      <c r="H43" s="713"/>
    </row>
    <row r="44" spans="1:8" ht="26.25" customHeight="1" x14ac:dyDescent="0.4">
      <c r="A44" s="691" t="s">
        <v>77</v>
      </c>
      <c r="B44" s="692">
        <v>1</v>
      </c>
      <c r="C44" s="717" t="s">
        <v>117</v>
      </c>
      <c r="D44" s="718">
        <f>D43*$B$34</f>
        <v>0</v>
      </c>
      <c r="E44" s="719"/>
      <c r="F44" s="718">
        <f>F43*$B$34</f>
        <v>0</v>
      </c>
      <c r="G44" s="670"/>
      <c r="H44" s="713"/>
    </row>
    <row r="45" spans="1:8" ht="19.5" customHeight="1" x14ac:dyDescent="0.3">
      <c r="A45" s="691" t="s">
        <v>79</v>
      </c>
      <c r="B45" s="720">
        <f>(B44/B43)*(B42/B41)*(B40/B39)*(B38/B37)*B36</f>
        <v>1</v>
      </c>
      <c r="C45" s="717" t="s">
        <v>80</v>
      </c>
      <c r="D45" s="721">
        <f>D44*$B$30/100</f>
        <v>0</v>
      </c>
      <c r="E45" s="722"/>
      <c r="F45" s="721">
        <f>F44*$B$30/100</f>
        <v>0</v>
      </c>
      <c r="G45" s="670"/>
      <c r="H45" s="713"/>
    </row>
    <row r="46" spans="1:8" ht="19.5" customHeight="1" x14ac:dyDescent="0.3">
      <c r="A46" s="994" t="s">
        <v>81</v>
      </c>
      <c r="B46" s="995"/>
      <c r="C46" s="717" t="s">
        <v>82</v>
      </c>
      <c r="D46" s="718">
        <f>D45/$B$45</f>
        <v>0</v>
      </c>
      <c r="E46" s="722"/>
      <c r="F46" s="723">
        <f>F45/$B$45</f>
        <v>0</v>
      </c>
      <c r="G46" s="670"/>
      <c r="H46" s="713"/>
    </row>
    <row r="47" spans="1:8" ht="27" customHeight="1" x14ac:dyDescent="0.4">
      <c r="A47" s="996"/>
      <c r="B47" s="997"/>
      <c r="C47" s="724" t="s">
        <v>129</v>
      </c>
      <c r="D47" s="725"/>
      <c r="E47" s="670"/>
      <c r="F47" s="726"/>
      <c r="G47" s="670"/>
      <c r="H47" s="713"/>
    </row>
    <row r="48" spans="1:8" ht="18.75" customHeight="1" x14ac:dyDescent="0.3">
      <c r="A48" s="670"/>
      <c r="B48" s="670"/>
      <c r="C48" s="727" t="s">
        <v>84</v>
      </c>
      <c r="D48" s="718">
        <f>D47*$B$45</f>
        <v>0</v>
      </c>
      <c r="E48" s="670"/>
      <c r="F48" s="726"/>
      <c r="G48" s="670"/>
      <c r="H48" s="713"/>
    </row>
    <row r="49" spans="1:8" ht="19.5" customHeight="1" x14ac:dyDescent="0.3">
      <c r="A49" s="670"/>
      <c r="B49" s="670"/>
      <c r="C49" s="728" t="s">
        <v>85</v>
      </c>
      <c r="D49" s="729">
        <f>D48/B34</f>
        <v>0</v>
      </c>
      <c r="E49" s="670"/>
      <c r="F49" s="726"/>
      <c r="G49" s="670"/>
      <c r="H49" s="713"/>
    </row>
    <row r="50" spans="1:8" ht="18.75" customHeight="1" x14ac:dyDescent="0.3">
      <c r="A50" s="670"/>
      <c r="B50" s="670"/>
      <c r="C50" s="689" t="s">
        <v>86</v>
      </c>
      <c r="D50" s="730" t="e">
        <f>AVERAGE(E38:E41,G38:G41)</f>
        <v>#DIV/0!</v>
      </c>
      <c r="E50" s="670"/>
      <c r="F50" s="731"/>
      <c r="G50" s="670"/>
      <c r="H50" s="713"/>
    </row>
    <row r="51" spans="1:8" ht="18.75" customHeight="1" x14ac:dyDescent="0.3">
      <c r="A51" s="670"/>
      <c r="B51" s="670"/>
      <c r="C51" s="724" t="s">
        <v>87</v>
      </c>
      <c r="D51" s="732" t="e">
        <f>STDEV(E38:E41,G38:G41)/D50</f>
        <v>#DIV/0!</v>
      </c>
      <c r="E51" s="670"/>
      <c r="F51" s="731"/>
      <c r="G51" s="670"/>
      <c r="H51" s="713"/>
    </row>
    <row r="52" spans="1:8" ht="19.5" customHeight="1" x14ac:dyDescent="0.3">
      <c r="A52" s="670"/>
      <c r="B52" s="670"/>
      <c r="C52" s="733" t="s">
        <v>20</v>
      </c>
      <c r="D52" s="734">
        <f>COUNT(E38:E41,G38:G41)</f>
        <v>0</v>
      </c>
      <c r="E52" s="670"/>
      <c r="F52" s="731"/>
      <c r="G52" s="670"/>
      <c r="H52" s="670"/>
    </row>
    <row r="53" spans="1:8" ht="18.75" customHeight="1" x14ac:dyDescent="0.3">
      <c r="A53" s="670"/>
      <c r="B53" s="670"/>
      <c r="C53" s="670"/>
      <c r="D53" s="670"/>
      <c r="E53" s="670"/>
      <c r="F53" s="670"/>
      <c r="G53" s="670"/>
      <c r="H53" s="670"/>
    </row>
    <row r="54" spans="1:8" ht="18.75" customHeight="1" x14ac:dyDescent="0.3">
      <c r="A54" s="671" t="s">
        <v>1</v>
      </c>
      <c r="B54" s="735" t="s">
        <v>88</v>
      </c>
      <c r="C54" s="670"/>
      <c r="D54" s="670"/>
      <c r="E54" s="670"/>
      <c r="F54" s="670"/>
      <c r="G54" s="670"/>
      <c r="H54" s="670"/>
    </row>
    <row r="55" spans="1:8" ht="18.75" customHeight="1" x14ac:dyDescent="0.3">
      <c r="A55" s="670" t="s">
        <v>89</v>
      </c>
      <c r="B55" s="736">
        <f>B21</f>
        <v>0</v>
      </c>
      <c r="C55" s="670"/>
      <c r="D55" s="670"/>
      <c r="E55" s="670"/>
      <c r="F55" s="670"/>
      <c r="G55" s="670"/>
      <c r="H55" s="670"/>
    </row>
    <row r="56" spans="1:8" ht="26.25" customHeight="1" x14ac:dyDescent="0.4">
      <c r="A56" s="737" t="s">
        <v>130</v>
      </c>
      <c r="B56" s="738"/>
      <c r="C56" s="670">
        <f>B20</f>
        <v>0</v>
      </c>
      <c r="D56" s="670"/>
      <c r="E56" s="670"/>
      <c r="F56" s="670"/>
      <c r="G56" s="670"/>
      <c r="H56" s="739"/>
    </row>
    <row r="57" spans="1:8" ht="18.75" customHeight="1" x14ac:dyDescent="0.3">
      <c r="A57" s="736" t="s">
        <v>131</v>
      </c>
      <c r="B57" s="740"/>
      <c r="C57" s="670"/>
      <c r="D57" s="670"/>
      <c r="E57" s="670"/>
      <c r="F57" s="670"/>
      <c r="G57" s="670"/>
      <c r="H57" s="739"/>
    </row>
    <row r="58" spans="1:8" ht="19.5" customHeight="1" x14ac:dyDescent="0.3">
      <c r="A58" s="670"/>
      <c r="B58" s="670"/>
      <c r="C58" s="670"/>
      <c r="D58" s="670"/>
      <c r="E58" s="670"/>
      <c r="F58" s="670"/>
      <c r="G58" s="670"/>
      <c r="H58" s="739"/>
    </row>
    <row r="59" spans="1:8" ht="27" customHeight="1" x14ac:dyDescent="0.4">
      <c r="A59" s="689" t="s">
        <v>132</v>
      </c>
      <c r="B59" s="690">
        <v>1</v>
      </c>
      <c r="C59" s="670"/>
      <c r="D59" s="741" t="s">
        <v>133</v>
      </c>
      <c r="E59" s="742" t="s">
        <v>65</v>
      </c>
      <c r="F59" s="742" t="s">
        <v>66</v>
      </c>
      <c r="G59" s="742" t="s">
        <v>94</v>
      </c>
      <c r="H59" s="693" t="s">
        <v>95</v>
      </c>
    </row>
    <row r="60" spans="1:8" ht="26.25" customHeight="1" x14ac:dyDescent="0.4">
      <c r="A60" s="691" t="s">
        <v>124</v>
      </c>
      <c r="B60" s="692">
        <v>1</v>
      </c>
      <c r="C60" s="998" t="s">
        <v>97</v>
      </c>
      <c r="D60" s="1001"/>
      <c r="E60" s="743">
        <v>1</v>
      </c>
      <c r="F60" s="744"/>
      <c r="G60" s="745" t="str">
        <f>IF(ISBLANK(F60),"-",(F60/$D$50*$D$47*$B$68)*($B$57/$D$60))</f>
        <v>-</v>
      </c>
      <c r="H60" s="746" t="str">
        <f t="shared" ref="H60:H71" si="0">IF(ISBLANK(F60),"-",G60/$B$56)</f>
        <v>-</v>
      </c>
    </row>
    <row r="61" spans="1:8" ht="26.25" customHeight="1" x14ac:dyDescent="0.4">
      <c r="A61" s="691" t="s">
        <v>98</v>
      </c>
      <c r="B61" s="692">
        <v>1</v>
      </c>
      <c r="C61" s="999"/>
      <c r="D61" s="1002"/>
      <c r="E61" s="747">
        <v>2</v>
      </c>
      <c r="F61" s="702"/>
      <c r="G61" s="748" t="str">
        <f>IF(ISBLANK(F61),"-",(F61/$D$50*$D$47*$B$68)*($B$57/$D$60))</f>
        <v>-</v>
      </c>
      <c r="H61" s="749" t="str">
        <f t="shared" si="0"/>
        <v>-</v>
      </c>
    </row>
    <row r="62" spans="1:8" ht="26.25" customHeight="1" x14ac:dyDescent="0.4">
      <c r="A62" s="691" t="s">
        <v>99</v>
      </c>
      <c r="B62" s="692">
        <v>1</v>
      </c>
      <c r="C62" s="999"/>
      <c r="D62" s="1002"/>
      <c r="E62" s="747">
        <v>3</v>
      </c>
      <c r="F62" s="702"/>
      <c r="G62" s="748" t="str">
        <f>IF(ISBLANK(F62),"-",(F62/$D$50*$D$47*$B$68)*($B$57/$D$60))</f>
        <v>-</v>
      </c>
      <c r="H62" s="749" t="str">
        <f t="shared" si="0"/>
        <v>-</v>
      </c>
    </row>
    <row r="63" spans="1:8" ht="27" customHeight="1" x14ac:dyDescent="0.4">
      <c r="A63" s="691" t="s">
        <v>100</v>
      </c>
      <c r="B63" s="692">
        <v>1</v>
      </c>
      <c r="C63" s="1000"/>
      <c r="D63" s="1003"/>
      <c r="E63" s="750">
        <v>4</v>
      </c>
      <c r="F63" s="751"/>
      <c r="G63" s="748" t="str">
        <f>IF(ISBLANK(F63),"-",(F63/$D$50*$D$47*$B$68)*($B$57/$D$60))</f>
        <v>-</v>
      </c>
      <c r="H63" s="749" t="str">
        <f t="shared" si="0"/>
        <v>-</v>
      </c>
    </row>
    <row r="64" spans="1:8" ht="26.25" customHeight="1" x14ac:dyDescent="0.4">
      <c r="A64" s="691" t="s">
        <v>101</v>
      </c>
      <c r="B64" s="692">
        <v>1</v>
      </c>
      <c r="C64" s="998" t="s">
        <v>102</v>
      </c>
      <c r="D64" s="1001"/>
      <c r="E64" s="743">
        <v>1</v>
      </c>
      <c r="F64" s="744"/>
      <c r="G64" s="752" t="str">
        <f>IF(ISBLANK(F64),"-",(F64/$D$50*$D$47*$B$68)*($B$57/$D$64))</f>
        <v>-</v>
      </c>
      <c r="H64" s="753" t="str">
        <f t="shared" si="0"/>
        <v>-</v>
      </c>
    </row>
    <row r="65" spans="1:8" ht="26.25" customHeight="1" x14ac:dyDescent="0.4">
      <c r="A65" s="691" t="s">
        <v>103</v>
      </c>
      <c r="B65" s="692">
        <v>1</v>
      </c>
      <c r="C65" s="999"/>
      <c r="D65" s="1002"/>
      <c r="E65" s="747">
        <v>2</v>
      </c>
      <c r="F65" s="702"/>
      <c r="G65" s="754" t="str">
        <f>IF(ISBLANK(F65),"-",(F65/$D$50*$D$47*$B$68)*($B$57/$D$64))</f>
        <v>-</v>
      </c>
      <c r="H65" s="755" t="str">
        <f t="shared" si="0"/>
        <v>-</v>
      </c>
    </row>
    <row r="66" spans="1:8" ht="26.25" customHeight="1" x14ac:dyDescent="0.4">
      <c r="A66" s="691" t="s">
        <v>104</v>
      </c>
      <c r="B66" s="692">
        <v>1</v>
      </c>
      <c r="C66" s="999"/>
      <c r="D66" s="1002"/>
      <c r="E66" s="747">
        <v>3</v>
      </c>
      <c r="F66" s="702"/>
      <c r="G66" s="754" t="str">
        <f>IF(ISBLANK(F66),"-",(F66/$D$50*$D$47*$B$68)*($B$57/$D$64))</f>
        <v>-</v>
      </c>
      <c r="H66" s="755" t="str">
        <f t="shared" si="0"/>
        <v>-</v>
      </c>
    </row>
    <row r="67" spans="1:8" ht="27" customHeight="1" x14ac:dyDescent="0.4">
      <c r="A67" s="691" t="s">
        <v>105</v>
      </c>
      <c r="B67" s="692">
        <v>1</v>
      </c>
      <c r="C67" s="1000"/>
      <c r="D67" s="1003"/>
      <c r="E67" s="750">
        <v>4</v>
      </c>
      <c r="F67" s="751"/>
      <c r="G67" s="756" t="str">
        <f>IF(ISBLANK(F67),"-",(F67/$D$50*$D$47*$B$68)*($B$57/$D$64))</f>
        <v>-</v>
      </c>
      <c r="H67" s="757" t="str">
        <f t="shared" si="0"/>
        <v>-</v>
      </c>
    </row>
    <row r="68" spans="1:8" ht="26.25" customHeight="1" x14ac:dyDescent="0.4">
      <c r="A68" s="691" t="s">
        <v>106</v>
      </c>
      <c r="B68" s="758">
        <f>(B67/B66)*(B65/B64)*(B63/B62)*(B61/B60)*B59</f>
        <v>1</v>
      </c>
      <c r="C68" s="998" t="s">
        <v>107</v>
      </c>
      <c r="D68" s="1001"/>
      <c r="E68" s="743">
        <v>1</v>
      </c>
      <c r="F68" s="744"/>
      <c r="G68" s="752" t="str">
        <f>IF(ISBLANK(F68),"-",(F68/$D$50*$D$47*$B$68)*($B$57/$D$68))</f>
        <v>-</v>
      </c>
      <c r="H68" s="749" t="str">
        <f t="shared" si="0"/>
        <v>-</v>
      </c>
    </row>
    <row r="69" spans="1:8" ht="27" customHeight="1" x14ac:dyDescent="0.4">
      <c r="A69" s="733" t="s">
        <v>108</v>
      </c>
      <c r="B69" s="759" t="e">
        <f>(D47*B68)/B56*B57</f>
        <v>#DIV/0!</v>
      </c>
      <c r="C69" s="999"/>
      <c r="D69" s="1002"/>
      <c r="E69" s="747">
        <v>2</v>
      </c>
      <c r="F69" s="702"/>
      <c r="G69" s="754" t="str">
        <f>IF(ISBLANK(F69),"-",(F69/$D$50*$D$47*$B$68)*($B$57/$D$68))</f>
        <v>-</v>
      </c>
      <c r="H69" s="749" t="str">
        <f t="shared" si="0"/>
        <v>-</v>
      </c>
    </row>
    <row r="70" spans="1:8" ht="26.25" customHeight="1" x14ac:dyDescent="0.4">
      <c r="A70" s="994" t="s">
        <v>81</v>
      </c>
      <c r="B70" s="995"/>
      <c r="C70" s="999"/>
      <c r="D70" s="1002"/>
      <c r="E70" s="747">
        <v>3</v>
      </c>
      <c r="F70" s="702"/>
      <c r="G70" s="754" t="str">
        <f>IF(ISBLANK(F70),"-",(F70/$D$50*$D$47*$B$68)*($B$57/$D$68))</f>
        <v>-</v>
      </c>
      <c r="H70" s="749" t="str">
        <f t="shared" si="0"/>
        <v>-</v>
      </c>
    </row>
    <row r="71" spans="1:8" ht="27" customHeight="1" x14ac:dyDescent="0.4">
      <c r="A71" s="996"/>
      <c r="B71" s="997"/>
      <c r="C71" s="1006"/>
      <c r="D71" s="1003"/>
      <c r="E71" s="750">
        <v>4</v>
      </c>
      <c r="F71" s="751"/>
      <c r="G71" s="756" t="str">
        <f>IF(ISBLANK(F71),"-",(F71/$D$50*$D$47*$B$68)*($B$57/$D$68))</f>
        <v>-</v>
      </c>
      <c r="H71" s="760" t="str">
        <f t="shared" si="0"/>
        <v>-</v>
      </c>
    </row>
    <row r="72" spans="1:8" ht="26.25" customHeight="1" x14ac:dyDescent="0.4">
      <c r="A72" s="761"/>
      <c r="B72" s="761"/>
      <c r="C72" s="761"/>
      <c r="D72" s="761"/>
      <c r="E72" s="761"/>
      <c r="F72" s="762"/>
      <c r="G72" s="763" t="s">
        <v>74</v>
      </c>
      <c r="H72" s="764" t="e">
        <f>AVERAGE(H60:H71)</f>
        <v>#DIV/0!</v>
      </c>
    </row>
    <row r="73" spans="1:8" ht="26.25" customHeight="1" x14ac:dyDescent="0.4">
      <c r="A73" s="670"/>
      <c r="B73" s="670"/>
      <c r="C73" s="761"/>
      <c r="D73" s="761"/>
      <c r="E73" s="761"/>
      <c r="F73" s="762"/>
      <c r="G73" s="765" t="s">
        <v>87</v>
      </c>
      <c r="H73" s="766" t="e">
        <f>STDEV(H60:H71)/H72</f>
        <v>#DIV/0!</v>
      </c>
    </row>
    <row r="74" spans="1:8" ht="27" customHeight="1" x14ac:dyDescent="0.4">
      <c r="A74" s="761"/>
      <c r="B74" s="761"/>
      <c r="C74" s="762"/>
      <c r="D74" s="762"/>
      <c r="E74" s="767"/>
      <c r="F74" s="762"/>
      <c r="G74" s="768" t="s">
        <v>20</v>
      </c>
      <c r="H74" s="769">
        <f>COUNT(H60:H71)</f>
        <v>0</v>
      </c>
    </row>
    <row r="75" spans="1:8" ht="18.75" customHeight="1" x14ac:dyDescent="0.3">
      <c r="A75" s="770"/>
      <c r="B75" s="770"/>
      <c r="C75" s="719"/>
      <c r="D75" s="719"/>
      <c r="E75" s="722"/>
      <c r="F75" s="719"/>
      <c r="G75" s="771"/>
      <c r="H75" s="772"/>
    </row>
    <row r="76" spans="1:8" ht="26.25" customHeight="1" x14ac:dyDescent="0.4">
      <c r="A76" s="677" t="s">
        <v>109</v>
      </c>
      <c r="B76" s="773" t="s">
        <v>110</v>
      </c>
      <c r="C76" s="1011">
        <f>B20</f>
        <v>0</v>
      </c>
      <c r="D76" s="1011"/>
      <c r="E76" s="774" t="s">
        <v>111</v>
      </c>
      <c r="F76" s="774"/>
      <c r="G76" s="775" t="e">
        <f>H72</f>
        <v>#DIV/0!</v>
      </c>
      <c r="H76" s="772"/>
    </row>
    <row r="77" spans="1:8" ht="19.5" customHeight="1" x14ac:dyDescent="0.3">
      <c r="A77" s="776"/>
      <c r="B77" s="776"/>
      <c r="C77" s="777"/>
      <c r="D77" s="777"/>
      <c r="E77" s="777"/>
      <c r="F77" s="777"/>
      <c r="G77" s="777"/>
      <c r="H77" s="777"/>
    </row>
    <row r="78" spans="1:8" ht="18.75" customHeight="1" x14ac:dyDescent="0.3">
      <c r="A78" s="670"/>
      <c r="B78" s="1013" t="s">
        <v>26</v>
      </c>
      <c r="C78" s="1013"/>
      <c r="D78" s="670"/>
      <c r="E78" s="778" t="s">
        <v>27</v>
      </c>
      <c r="F78" s="779"/>
      <c r="G78" s="1013" t="s">
        <v>28</v>
      </c>
      <c r="H78" s="1013"/>
    </row>
    <row r="79" spans="1:8" ht="18.75" customHeight="1" x14ac:dyDescent="0.3">
      <c r="A79" s="780" t="s">
        <v>29</v>
      </c>
      <c r="B79" s="781"/>
      <c r="C79" s="781"/>
      <c r="D79" s="670"/>
      <c r="E79" s="782"/>
      <c r="F79" s="783"/>
      <c r="G79" s="784"/>
      <c r="H79" s="784"/>
    </row>
    <row r="80" spans="1:8" ht="18.75" customHeight="1" x14ac:dyDescent="0.3">
      <c r="A80" s="780" t="s">
        <v>30</v>
      </c>
      <c r="B80" s="785"/>
      <c r="C80" s="785"/>
      <c r="D80" s="670"/>
      <c r="E80" s="786"/>
      <c r="F80" s="783"/>
      <c r="G80" s="787"/>
      <c r="H80" s="787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41" priority="1" operator="greaterThan">
      <formula>0.02</formula>
    </cfRule>
  </conditionalFormatting>
  <conditionalFormatting sqref="H73">
    <cfRule type="cellIs" dxfId="40" priority="2" operator="greaterThan">
      <formula>0.02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4" zoomScale="60" zoomScaleNormal="70" workbookViewId="0">
      <selection activeCell="D68" sqref="D68"/>
    </sheetView>
  </sheetViews>
  <sheetFormatPr defaultRowHeight="12.75" x14ac:dyDescent="0.2"/>
  <cols>
    <col min="1" max="1" width="38.42578125" customWidth="1"/>
    <col min="2" max="2" width="35.7109375" customWidth="1"/>
    <col min="3" max="3" width="23.28515625" customWidth="1"/>
    <col min="4" max="4" width="25.42578125" customWidth="1"/>
    <col min="5" max="5" width="22.7109375" customWidth="1"/>
    <col min="6" max="6" width="29.42578125" customWidth="1"/>
    <col min="7" max="7" width="33.42578125" customWidth="1"/>
  </cols>
  <sheetData>
    <row r="1" spans="1:7" ht="14.25" customHeight="1" x14ac:dyDescent="0.2">
      <c r="A1" s="1014" t="s">
        <v>134</v>
      </c>
      <c r="B1" s="1014"/>
      <c r="C1" s="1014"/>
      <c r="D1" s="1014"/>
      <c r="E1" s="1014"/>
      <c r="F1" s="1014"/>
      <c r="G1" s="1014"/>
    </row>
    <row r="2" spans="1:7" ht="14.25" customHeight="1" x14ac:dyDescent="0.2">
      <c r="A2" s="1014"/>
      <c r="B2" s="1014"/>
      <c r="C2" s="1014"/>
      <c r="D2" s="1014"/>
      <c r="E2" s="1014"/>
      <c r="F2" s="1014"/>
      <c r="G2" s="1014"/>
    </row>
    <row r="3" spans="1:7" ht="14.25" customHeight="1" x14ac:dyDescent="0.2">
      <c r="A3" s="1014"/>
      <c r="B3" s="1014"/>
      <c r="C3" s="1014"/>
      <c r="D3" s="1014"/>
      <c r="E3" s="1014"/>
      <c r="F3" s="1014"/>
      <c r="G3" s="1014"/>
    </row>
    <row r="4" spans="1:7" ht="14.25" customHeight="1" x14ac:dyDescent="0.2">
      <c r="A4" s="1014"/>
      <c r="B4" s="1014"/>
      <c r="C4" s="1014"/>
      <c r="D4" s="1014"/>
      <c r="E4" s="1014"/>
      <c r="F4" s="1014"/>
      <c r="G4" s="1014"/>
    </row>
    <row r="5" spans="1:7" ht="14.25" customHeight="1" x14ac:dyDescent="0.2">
      <c r="A5" s="1014"/>
      <c r="B5" s="1014"/>
      <c r="C5" s="1014"/>
      <c r="D5" s="1014"/>
      <c r="E5" s="1014"/>
      <c r="F5" s="1014"/>
      <c r="G5" s="1014"/>
    </row>
    <row r="6" spans="1:7" ht="14.25" customHeight="1" x14ac:dyDescent="0.2">
      <c r="A6" s="1014"/>
      <c r="B6" s="1014"/>
      <c r="C6" s="1014"/>
      <c r="D6" s="1014"/>
      <c r="E6" s="1014"/>
      <c r="F6" s="1014"/>
      <c r="G6" s="1014"/>
    </row>
    <row r="7" spans="1:7" ht="14.25" customHeight="1" x14ac:dyDescent="0.2">
      <c r="A7" s="1014"/>
      <c r="B7" s="1014"/>
      <c r="C7" s="1014"/>
      <c r="D7" s="1014"/>
      <c r="E7" s="1014"/>
      <c r="F7" s="1014"/>
      <c r="G7" s="1014"/>
    </row>
    <row r="8" spans="1:7" ht="14.25" customHeight="1" x14ac:dyDescent="0.2">
      <c r="A8" s="1015" t="s">
        <v>135</v>
      </c>
      <c r="B8" s="1015"/>
      <c r="C8" s="1015"/>
      <c r="D8" s="1015"/>
      <c r="E8" s="1015"/>
      <c r="F8" s="1015"/>
      <c r="G8" s="1015"/>
    </row>
    <row r="9" spans="1:7" ht="14.25" customHeight="1" x14ac:dyDescent="0.2">
      <c r="A9" s="1015"/>
      <c r="B9" s="1015"/>
      <c r="C9" s="1015"/>
      <c r="D9" s="1015"/>
      <c r="E9" s="1015"/>
      <c r="F9" s="1015"/>
      <c r="G9" s="1015"/>
    </row>
    <row r="10" spans="1:7" ht="14.25" customHeight="1" x14ac:dyDescent="0.2">
      <c r="A10" s="1015"/>
      <c r="B10" s="1015"/>
      <c r="C10" s="1015"/>
      <c r="D10" s="1015"/>
      <c r="E10" s="1015"/>
      <c r="F10" s="1015"/>
      <c r="G10" s="1015"/>
    </row>
    <row r="11" spans="1:7" ht="14.25" customHeight="1" x14ac:dyDescent="0.2">
      <c r="A11" s="1015"/>
      <c r="B11" s="1015"/>
      <c r="C11" s="1015"/>
      <c r="D11" s="1015"/>
      <c r="E11" s="1015"/>
      <c r="F11" s="1015"/>
      <c r="G11" s="1015"/>
    </row>
    <row r="12" spans="1:7" ht="14.25" customHeight="1" x14ac:dyDescent="0.2">
      <c r="A12" s="1015"/>
      <c r="B12" s="1015"/>
      <c r="C12" s="1015"/>
      <c r="D12" s="1015"/>
      <c r="E12" s="1015"/>
      <c r="F12" s="1015"/>
      <c r="G12" s="1015"/>
    </row>
    <row r="13" spans="1:7" ht="14.25" customHeight="1" x14ac:dyDescent="0.2">
      <c r="A13" s="1015"/>
      <c r="B13" s="1015"/>
      <c r="C13" s="1015"/>
      <c r="D13" s="1015"/>
      <c r="E13" s="1015"/>
      <c r="F13" s="1015"/>
      <c r="G13" s="1015"/>
    </row>
    <row r="14" spans="1:7" ht="14.25" customHeight="1" x14ac:dyDescent="0.2">
      <c r="A14" s="1015"/>
      <c r="B14" s="1015"/>
      <c r="C14" s="1015"/>
      <c r="D14" s="1015"/>
      <c r="E14" s="1015"/>
      <c r="F14" s="1015"/>
      <c r="G14" s="1015"/>
    </row>
    <row r="15" spans="1:7" ht="19.5" customHeight="1" x14ac:dyDescent="0.3">
      <c r="A15" s="788"/>
      <c r="B15" s="788"/>
      <c r="C15" s="788"/>
      <c r="D15" s="788"/>
      <c r="E15" s="788"/>
      <c r="F15" s="788"/>
      <c r="G15" s="788"/>
    </row>
    <row r="16" spans="1:7" ht="19.5" customHeight="1" x14ac:dyDescent="0.3">
      <c r="A16" s="978" t="s">
        <v>31</v>
      </c>
      <c r="B16" s="979"/>
      <c r="C16" s="979"/>
      <c r="D16" s="979"/>
      <c r="E16" s="979"/>
      <c r="F16" s="979"/>
      <c r="G16" s="979"/>
    </row>
    <row r="17" spans="1:7" ht="18.75" customHeight="1" x14ac:dyDescent="0.3">
      <c r="A17" s="789" t="s">
        <v>50</v>
      </c>
      <c r="B17" s="789"/>
      <c r="C17" s="788"/>
      <c r="D17" s="788"/>
      <c r="E17" s="788"/>
      <c r="F17" s="788"/>
      <c r="G17" s="788"/>
    </row>
    <row r="18" spans="1:7" ht="26.25" customHeight="1" x14ac:dyDescent="0.4">
      <c r="A18" s="790" t="s">
        <v>33</v>
      </c>
      <c r="B18" s="1012"/>
      <c r="C18" s="1012"/>
      <c r="D18" s="791"/>
      <c r="E18" s="791"/>
      <c r="F18" s="788"/>
      <c r="G18" s="788"/>
    </row>
    <row r="19" spans="1:7" ht="26.25" customHeight="1" x14ac:dyDescent="0.4">
      <c r="A19" s="790" t="s">
        <v>34</v>
      </c>
      <c r="B19" s="792"/>
      <c r="C19" s="842">
        <v>19</v>
      </c>
      <c r="D19" s="788"/>
      <c r="E19" s="788"/>
      <c r="F19" s="788"/>
      <c r="G19" s="788"/>
    </row>
    <row r="20" spans="1:7" ht="26.25" customHeight="1" x14ac:dyDescent="0.4">
      <c r="A20" s="790" t="s">
        <v>35</v>
      </c>
      <c r="B20" s="983"/>
      <c r="C20" s="983"/>
      <c r="D20" s="788"/>
      <c r="E20" s="788"/>
      <c r="F20" s="788"/>
      <c r="G20" s="788"/>
    </row>
    <row r="21" spans="1:7" ht="26.25" customHeight="1" x14ac:dyDescent="0.4">
      <c r="A21" s="790" t="s">
        <v>36</v>
      </c>
      <c r="B21" s="793"/>
      <c r="C21" s="793"/>
      <c r="D21" s="794"/>
      <c r="E21" s="794"/>
      <c r="F21" s="794"/>
      <c r="G21" s="794"/>
    </row>
    <row r="22" spans="1:7" ht="26.25" customHeight="1" x14ac:dyDescent="0.4">
      <c r="A22" s="790" t="s">
        <v>37</v>
      </c>
      <c r="B22" s="795"/>
      <c r="C22" s="796"/>
      <c r="D22" s="788"/>
      <c r="E22" s="788"/>
      <c r="F22" s="788"/>
      <c r="G22" s="788"/>
    </row>
    <row r="23" spans="1:7" ht="26.25" customHeight="1" x14ac:dyDescent="0.4">
      <c r="A23" s="790" t="s">
        <v>38</v>
      </c>
      <c r="B23" s="795"/>
      <c r="C23" s="796"/>
      <c r="D23" s="788"/>
      <c r="E23" s="788"/>
      <c r="F23" s="788"/>
      <c r="G23" s="788"/>
    </row>
    <row r="24" spans="1:7" ht="18.75" customHeight="1" x14ac:dyDescent="0.3">
      <c r="A24" s="790"/>
      <c r="B24" s="797"/>
      <c r="C24" s="788"/>
      <c r="D24" s="788"/>
      <c r="E24" s="788"/>
      <c r="F24" s="788"/>
      <c r="G24" s="788"/>
    </row>
    <row r="25" spans="1:7" ht="18.75" customHeight="1" x14ac:dyDescent="0.3">
      <c r="A25" s="789" t="s">
        <v>1</v>
      </c>
      <c r="B25" s="805" t="s">
        <v>136</v>
      </c>
      <c r="C25" s="788"/>
      <c r="D25" s="788"/>
      <c r="E25" s="788"/>
      <c r="F25" s="788"/>
      <c r="G25" s="788"/>
    </row>
    <row r="26" spans="1:7" ht="19.5" customHeight="1" x14ac:dyDescent="0.3">
      <c r="A26" s="788" t="s">
        <v>89</v>
      </c>
      <c r="B26" s="806">
        <f>B21</f>
        <v>0</v>
      </c>
      <c r="C26" s="788"/>
      <c r="D26" s="788"/>
      <c r="E26" s="788"/>
      <c r="F26" s="788"/>
      <c r="G26" s="788"/>
    </row>
    <row r="27" spans="1:7" ht="27" customHeight="1" x14ac:dyDescent="0.4">
      <c r="A27" s="807" t="s">
        <v>137</v>
      </c>
      <c r="B27" s="877">
        <v>88.280974384903999</v>
      </c>
      <c r="C27" s="788">
        <f>B20</f>
        <v>0</v>
      </c>
      <c r="D27" s="1016" t="s">
        <v>138</v>
      </c>
      <c r="E27" s="1017"/>
      <c r="F27" s="1017"/>
      <c r="G27" s="1017"/>
    </row>
    <row r="28" spans="1:7" ht="17.25" customHeight="1" x14ac:dyDescent="0.3">
      <c r="A28" s="808"/>
      <c r="B28" s="808"/>
      <c r="C28" s="808"/>
      <c r="D28" s="809"/>
      <c r="E28" s="809"/>
      <c r="F28" s="809"/>
      <c r="G28" s="809"/>
    </row>
    <row r="29" spans="1:7" ht="38.25" customHeight="1" x14ac:dyDescent="0.3">
      <c r="A29" s="803"/>
      <c r="B29" s="848" t="s">
        <v>139</v>
      </c>
      <c r="C29" s="850" t="s">
        <v>140</v>
      </c>
      <c r="D29" s="810" t="s">
        <v>141</v>
      </c>
      <c r="F29" s="822"/>
      <c r="G29" s="788"/>
    </row>
    <row r="30" spans="1:7" ht="27" customHeight="1" x14ac:dyDescent="0.4">
      <c r="A30" s="803"/>
      <c r="B30" s="811">
        <v>1</v>
      </c>
      <c r="C30" s="851">
        <v>259.02</v>
      </c>
      <c r="D30" s="849">
        <f t="shared" ref="D30:D39" si="0">IF(ISBLANK(C30),"-",C30/$C$41*$B$27)</f>
        <v>88.315411326236514</v>
      </c>
      <c r="F30" s="805"/>
      <c r="G30" s="788"/>
    </row>
    <row r="31" spans="1:7" ht="26.25" customHeight="1" x14ac:dyDescent="0.4">
      <c r="A31" s="803"/>
      <c r="B31" s="812">
        <v>2</v>
      </c>
      <c r="C31" s="852">
        <v>261.08</v>
      </c>
      <c r="D31" s="813">
        <f t="shared" si="0"/>
        <v>89.017788545493914</v>
      </c>
      <c r="F31" s="990" t="s">
        <v>142</v>
      </c>
      <c r="G31" s="992"/>
    </row>
    <row r="32" spans="1:7" ht="26.25" customHeight="1" x14ac:dyDescent="0.4">
      <c r="A32" s="803"/>
      <c r="B32" s="812">
        <v>3</v>
      </c>
      <c r="C32" s="852">
        <v>260.08999999999997</v>
      </c>
      <c r="D32" s="813">
        <f t="shared" si="0"/>
        <v>88.680238328472143</v>
      </c>
      <c r="F32" s="865" t="s">
        <v>47</v>
      </c>
      <c r="G32" s="866">
        <f>D41</f>
        <v>88.280974384903999</v>
      </c>
    </row>
    <row r="33" spans="1:7" ht="26.25" customHeight="1" x14ac:dyDescent="0.4">
      <c r="A33" s="803"/>
      <c r="B33" s="812">
        <v>4</v>
      </c>
      <c r="C33" s="852">
        <v>257.73</v>
      </c>
      <c r="D33" s="813">
        <f t="shared" si="0"/>
        <v>87.87557316466274</v>
      </c>
      <c r="F33" s="865" t="s">
        <v>143</v>
      </c>
      <c r="G33" s="867">
        <v>2.4</v>
      </c>
    </row>
    <row r="34" spans="1:7" ht="26.25" customHeight="1" x14ac:dyDescent="0.4">
      <c r="A34" s="803"/>
      <c r="B34" s="812">
        <v>5</v>
      </c>
      <c r="C34" s="852">
        <v>256.26</v>
      </c>
      <c r="D34" s="813">
        <f t="shared" si="0"/>
        <v>87.374362236357697</v>
      </c>
      <c r="F34" s="865" t="s">
        <v>144</v>
      </c>
      <c r="G34" s="866">
        <f>STDEV(D30:D39)</f>
        <v>0.52474701427145476</v>
      </c>
    </row>
    <row r="35" spans="1:7" ht="26.25" customHeight="1" x14ac:dyDescent="0.4">
      <c r="A35" s="803"/>
      <c r="B35" s="812">
        <v>6</v>
      </c>
      <c r="C35" s="852">
        <v>257.31</v>
      </c>
      <c r="D35" s="813">
        <f t="shared" si="0"/>
        <v>87.732370042289858</v>
      </c>
      <c r="F35" s="865" t="s">
        <v>145</v>
      </c>
      <c r="G35" s="866">
        <f>IF(OR(D41&lt;98.5,D41&gt;101.5),(IF(D41&lt;98.5,98.5,101.5)),G32)</f>
        <v>98.5</v>
      </c>
    </row>
    <row r="36" spans="1:7" ht="27" customHeight="1" x14ac:dyDescent="0.4">
      <c r="A36" s="803"/>
      <c r="B36" s="812">
        <v>7</v>
      </c>
      <c r="C36" s="852">
        <v>258.41000000000003</v>
      </c>
      <c r="D36" s="813">
        <f t="shared" si="0"/>
        <v>88.107425838980717</v>
      </c>
      <c r="F36" s="873" t="s">
        <v>146</v>
      </c>
      <c r="G36" s="875">
        <f>ABS(G35-G32)+(G33*G34)</f>
        <v>11.478418449347492</v>
      </c>
    </row>
    <row r="37" spans="1:7" ht="26.25" customHeight="1" x14ac:dyDescent="0.4">
      <c r="A37" s="803"/>
      <c r="B37" s="812">
        <v>8</v>
      </c>
      <c r="C37" s="852">
        <v>259.33</v>
      </c>
      <c r="D37" s="813">
        <f t="shared" si="0"/>
        <v>88.421108868940308</v>
      </c>
    </row>
    <row r="38" spans="1:7" ht="26.25" customHeight="1" x14ac:dyDescent="0.4">
      <c r="A38" s="803"/>
      <c r="B38" s="812">
        <v>9</v>
      </c>
      <c r="C38" s="852">
        <v>259.11</v>
      </c>
      <c r="D38" s="813">
        <f t="shared" si="0"/>
        <v>88.346097709602134</v>
      </c>
    </row>
    <row r="39" spans="1:7" ht="27" customHeight="1" x14ac:dyDescent="0.4">
      <c r="A39" s="798"/>
      <c r="B39" s="814">
        <v>10</v>
      </c>
      <c r="C39" s="853">
        <v>260.85000000000002</v>
      </c>
      <c r="D39" s="815">
        <f t="shared" si="0"/>
        <v>88.93936778800402</v>
      </c>
    </row>
    <row r="40" spans="1:7" ht="18.75" customHeight="1" x14ac:dyDescent="0.3">
      <c r="A40" s="798"/>
      <c r="B40" s="812"/>
      <c r="C40" s="802"/>
      <c r="D40" s="846"/>
    </row>
    <row r="41" spans="1:7" ht="18.75" customHeight="1" x14ac:dyDescent="0.3">
      <c r="A41" s="809"/>
      <c r="B41" s="799" t="s">
        <v>147</v>
      </c>
      <c r="C41" s="876">
        <f>AVERAGE(C30:C39)</f>
        <v>258.91899999999998</v>
      </c>
      <c r="D41" s="817">
        <f>AVERAGE(D30:D39)</f>
        <v>88.280974384903999</v>
      </c>
    </row>
    <row r="42" spans="1:7" ht="18.75" customHeight="1" x14ac:dyDescent="0.3">
      <c r="A42" s="809"/>
      <c r="B42" s="799" t="s">
        <v>87</v>
      </c>
      <c r="C42" s="818">
        <f>STDEV(C30:C39)/C41</f>
        <v>5.9440555332291823E-3</v>
      </c>
      <c r="D42" s="818">
        <f>STDEV(D30:D39)/D41</f>
        <v>5.9440555332292101E-3</v>
      </c>
    </row>
    <row r="43" spans="1:7" ht="19.5" customHeight="1" x14ac:dyDescent="0.3">
      <c r="A43" s="809"/>
      <c r="B43" s="804" t="s">
        <v>20</v>
      </c>
      <c r="C43" s="819">
        <f>COUNT(C30:C39)</f>
        <v>10</v>
      </c>
      <c r="D43" s="819">
        <f>COUNT(D30:D39)</f>
        <v>10</v>
      </c>
    </row>
    <row r="44" spans="1:7" ht="18.75" customHeight="1" x14ac:dyDescent="0.3">
      <c r="A44" s="809"/>
      <c r="B44" s="820"/>
      <c r="C44" s="820"/>
      <c r="D44" s="801"/>
      <c r="E44" s="816"/>
      <c r="F44" s="800"/>
      <c r="G44" s="821"/>
    </row>
    <row r="45" spans="1:7" ht="18.75" customHeight="1" x14ac:dyDescent="0.3">
      <c r="A45" s="788"/>
      <c r="B45" s="788"/>
      <c r="C45" s="788"/>
      <c r="D45" s="788"/>
      <c r="E45" s="788"/>
      <c r="F45" s="788"/>
      <c r="G45" s="788"/>
    </row>
    <row r="46" spans="1:7" ht="18.75" customHeight="1" x14ac:dyDescent="0.3">
      <c r="A46" s="789" t="s">
        <v>1</v>
      </c>
      <c r="B46" s="805" t="s">
        <v>148</v>
      </c>
      <c r="C46" s="788"/>
      <c r="D46" s="788"/>
      <c r="E46" s="788"/>
      <c r="F46" s="788"/>
      <c r="G46" s="788"/>
    </row>
    <row r="47" spans="1:7" ht="17.25" customHeight="1" x14ac:dyDescent="0.3">
      <c r="A47" s="808"/>
      <c r="B47" s="808"/>
      <c r="C47" s="808"/>
      <c r="D47" s="809"/>
      <c r="E47" s="809"/>
      <c r="F47" s="809"/>
      <c r="G47" s="809"/>
    </row>
    <row r="48" spans="1:7" ht="37.5" customHeight="1" x14ac:dyDescent="0.3">
      <c r="A48" s="803"/>
      <c r="B48" s="848" t="s">
        <v>139</v>
      </c>
      <c r="C48" s="850" t="s">
        <v>140</v>
      </c>
      <c r="D48" s="810" t="s">
        <v>141</v>
      </c>
      <c r="E48" s="854"/>
      <c r="F48" s="968"/>
      <c r="G48" s="968"/>
    </row>
    <row r="49" spans="1:7" ht="27" customHeight="1" x14ac:dyDescent="0.4">
      <c r="A49" s="803"/>
      <c r="B49" s="823">
        <v>1</v>
      </c>
      <c r="C49" s="824">
        <v>259.02</v>
      </c>
      <c r="D49" s="843">
        <f t="shared" ref="D49:D68" si="1">IF(ISBLANK(C49),"-",C49/$C$70*$B$27)</f>
        <v>88.315411326236514</v>
      </c>
      <c r="E49" s="855"/>
      <c r="F49" s="864"/>
      <c r="G49" s="862"/>
    </row>
    <row r="50" spans="1:7" ht="26.25" customHeight="1" x14ac:dyDescent="0.4">
      <c r="A50" s="803"/>
      <c r="B50" s="825">
        <v>2</v>
      </c>
      <c r="C50" s="826">
        <v>261.08</v>
      </c>
      <c r="D50" s="844">
        <f t="shared" si="1"/>
        <v>89.017788545493914</v>
      </c>
      <c r="E50" s="855"/>
      <c r="F50" s="990" t="s">
        <v>142</v>
      </c>
      <c r="G50" s="992"/>
    </row>
    <row r="51" spans="1:7" ht="26.25" customHeight="1" x14ac:dyDescent="0.4">
      <c r="A51" s="803"/>
      <c r="B51" s="825">
        <v>3</v>
      </c>
      <c r="C51" s="826">
        <v>260.08999999999997</v>
      </c>
      <c r="D51" s="844">
        <f t="shared" si="1"/>
        <v>88.680238328472143</v>
      </c>
      <c r="E51" s="855"/>
      <c r="F51" s="865" t="s">
        <v>47</v>
      </c>
      <c r="G51" s="866">
        <f>AVERAGE(D49:D68)</f>
        <v>88.280974384904013</v>
      </c>
    </row>
    <row r="52" spans="1:7" ht="26.25" customHeight="1" x14ac:dyDescent="0.4">
      <c r="A52" s="803"/>
      <c r="B52" s="825">
        <v>4</v>
      </c>
      <c r="C52" s="826">
        <v>257.73</v>
      </c>
      <c r="D52" s="844">
        <f t="shared" si="1"/>
        <v>87.87557316466274</v>
      </c>
      <c r="E52" s="855"/>
      <c r="F52" s="865" t="s">
        <v>143</v>
      </c>
      <c r="G52" s="867">
        <v>2</v>
      </c>
    </row>
    <row r="53" spans="1:7" ht="26.25" customHeight="1" x14ac:dyDescent="0.4">
      <c r="A53" s="803"/>
      <c r="B53" s="825">
        <v>5</v>
      </c>
      <c r="C53" s="826">
        <v>256.26</v>
      </c>
      <c r="D53" s="844">
        <f t="shared" si="1"/>
        <v>87.374362236357697</v>
      </c>
      <c r="E53" s="855"/>
      <c r="F53" s="865" t="s">
        <v>144</v>
      </c>
      <c r="G53" s="866">
        <f>STDEV(D49:D68)</f>
        <v>0.51075123833543967</v>
      </c>
    </row>
    <row r="54" spans="1:7" ht="27" customHeight="1" x14ac:dyDescent="0.4">
      <c r="A54" s="803"/>
      <c r="B54" s="825">
        <v>6</v>
      </c>
      <c r="C54" s="826">
        <v>257.31</v>
      </c>
      <c r="D54" s="844">
        <f t="shared" si="1"/>
        <v>87.732370042289858</v>
      </c>
      <c r="E54" s="855"/>
      <c r="F54" s="868" t="s">
        <v>145</v>
      </c>
      <c r="G54" s="869">
        <f>IF(OR(D70&lt;98.5,D70&gt;101.5),(IF(D70&lt;98.5,98.5,101.5)),G51)</f>
        <v>98.5</v>
      </c>
    </row>
    <row r="55" spans="1:7" ht="26.25" customHeight="1" x14ac:dyDescent="0.4">
      <c r="A55" s="803"/>
      <c r="B55" s="825">
        <v>7</v>
      </c>
      <c r="C55" s="826">
        <v>258.41000000000003</v>
      </c>
      <c r="D55" s="844">
        <f t="shared" si="1"/>
        <v>88.107425838980717</v>
      </c>
      <c r="E55" s="855"/>
      <c r="F55" s="870" t="s">
        <v>149</v>
      </c>
      <c r="G55" s="871">
        <f>ABS(G54-G51)+(G52*G53)</f>
        <v>11.240528091766866</v>
      </c>
    </row>
    <row r="56" spans="1:7" ht="26.25" customHeight="1" x14ac:dyDescent="0.4">
      <c r="A56" s="803"/>
      <c r="B56" s="825">
        <v>8</v>
      </c>
      <c r="C56" s="826">
        <v>259.33</v>
      </c>
      <c r="D56" s="844">
        <f t="shared" si="1"/>
        <v>88.421108868940308</v>
      </c>
      <c r="E56" s="855"/>
      <c r="F56" s="865" t="s">
        <v>150</v>
      </c>
      <c r="G56" s="872">
        <f>(1-(0.01)*(25))*G54</f>
        <v>73.875</v>
      </c>
    </row>
    <row r="57" spans="1:7" ht="27" customHeight="1" x14ac:dyDescent="0.4">
      <c r="A57" s="803"/>
      <c r="B57" s="825" t="str">
        <f>Uniformity!C46</f>
        <v>% Deviation from mean</v>
      </c>
      <c r="C57" s="826">
        <v>259.11</v>
      </c>
      <c r="D57" s="844">
        <f t="shared" si="1"/>
        <v>88.346097709602134</v>
      </c>
      <c r="E57" s="855"/>
      <c r="F57" s="873" t="s">
        <v>151</v>
      </c>
      <c r="G57" s="874">
        <f>(1+(0.01)*(25))*G54</f>
        <v>123.125</v>
      </c>
    </row>
    <row r="58" spans="1:7" ht="26.25" customHeight="1" x14ac:dyDescent="0.4">
      <c r="A58" s="798"/>
      <c r="B58" s="825">
        <v>10</v>
      </c>
      <c r="C58" s="826">
        <v>260.85000000000002</v>
      </c>
      <c r="D58" s="844">
        <f t="shared" si="1"/>
        <v>88.93936778800402</v>
      </c>
      <c r="E58" s="855"/>
    </row>
    <row r="59" spans="1:7" ht="26.25" customHeight="1" x14ac:dyDescent="0.4">
      <c r="A59" s="798"/>
      <c r="B59" s="825">
        <v>11</v>
      </c>
      <c r="C59" s="826">
        <v>259.02</v>
      </c>
      <c r="D59" s="844">
        <f t="shared" si="1"/>
        <v>88.315411326236514</v>
      </c>
      <c r="E59" s="855"/>
    </row>
    <row r="60" spans="1:7" ht="26.25" customHeight="1" x14ac:dyDescent="0.4">
      <c r="A60" s="798"/>
      <c r="B60" s="825">
        <v>12</v>
      </c>
      <c r="C60" s="826">
        <v>261.08</v>
      </c>
      <c r="D60" s="844">
        <f t="shared" si="1"/>
        <v>89.017788545493914</v>
      </c>
      <c r="E60" s="855"/>
    </row>
    <row r="61" spans="1:7" ht="26.25" customHeight="1" x14ac:dyDescent="0.4">
      <c r="A61" s="798"/>
      <c r="B61" s="825">
        <v>13</v>
      </c>
      <c r="C61" s="826">
        <v>260.08999999999997</v>
      </c>
      <c r="D61" s="844">
        <f t="shared" si="1"/>
        <v>88.680238328472143</v>
      </c>
      <c r="E61" s="855"/>
    </row>
    <row r="62" spans="1:7" ht="26.25" customHeight="1" x14ac:dyDescent="0.4">
      <c r="A62" s="798"/>
      <c r="B62" s="825">
        <v>14</v>
      </c>
      <c r="C62" s="826">
        <v>257.73</v>
      </c>
      <c r="D62" s="844">
        <f t="shared" si="1"/>
        <v>87.87557316466274</v>
      </c>
      <c r="E62" s="855"/>
    </row>
    <row r="63" spans="1:7" ht="26.25" customHeight="1" x14ac:dyDescent="0.4">
      <c r="A63" s="798"/>
      <c r="B63" s="825">
        <v>15</v>
      </c>
      <c r="C63" s="826">
        <v>256.26</v>
      </c>
      <c r="D63" s="844">
        <f t="shared" si="1"/>
        <v>87.374362236357697</v>
      </c>
      <c r="E63" s="855"/>
    </row>
    <row r="64" spans="1:7" ht="26.25" customHeight="1" x14ac:dyDescent="0.4">
      <c r="A64" s="798"/>
      <c r="B64" s="825">
        <v>16</v>
      </c>
      <c r="C64" s="826">
        <v>257.31</v>
      </c>
      <c r="D64" s="844">
        <f t="shared" si="1"/>
        <v>87.732370042289858</v>
      </c>
      <c r="E64" s="855"/>
    </row>
    <row r="65" spans="1:7" ht="26.25" customHeight="1" x14ac:dyDescent="0.4">
      <c r="A65" s="798"/>
      <c r="B65" s="825">
        <v>17</v>
      </c>
      <c r="C65" s="826">
        <v>258.41000000000003</v>
      </c>
      <c r="D65" s="844">
        <f t="shared" si="1"/>
        <v>88.107425838980717</v>
      </c>
      <c r="E65" s="855"/>
    </row>
    <row r="66" spans="1:7" ht="26.25" customHeight="1" x14ac:dyDescent="0.4">
      <c r="A66" s="798"/>
      <c r="B66" s="825">
        <v>18</v>
      </c>
      <c r="C66" s="826">
        <v>259.33</v>
      </c>
      <c r="D66" s="844">
        <f t="shared" si="1"/>
        <v>88.421108868940308</v>
      </c>
      <c r="E66" s="855"/>
    </row>
    <row r="67" spans="1:7" ht="26.25" customHeight="1" x14ac:dyDescent="0.4">
      <c r="A67" s="798"/>
      <c r="B67" s="825">
        <v>19</v>
      </c>
      <c r="C67" s="826">
        <v>259.11</v>
      </c>
      <c r="D67" s="844">
        <f t="shared" si="1"/>
        <v>88.346097709602134</v>
      </c>
      <c r="E67" s="855"/>
    </row>
    <row r="68" spans="1:7" ht="27" customHeight="1" x14ac:dyDescent="0.4">
      <c r="A68" s="798"/>
      <c r="B68" s="863">
        <v>20</v>
      </c>
      <c r="C68" s="847">
        <v>260.85000000000002</v>
      </c>
      <c r="D68" s="845">
        <f t="shared" si="1"/>
        <v>88.93936778800402</v>
      </c>
      <c r="E68" s="855"/>
      <c r="F68" s="857"/>
    </row>
    <row r="69" spans="1:7" ht="19.5" customHeight="1" x14ac:dyDescent="0.3">
      <c r="A69" s="798"/>
      <c r="B69" s="812"/>
      <c r="C69" s="802"/>
      <c r="D69" s="856"/>
      <c r="E69" s="827"/>
      <c r="F69" s="858"/>
    </row>
    <row r="70" spans="1:7" ht="26.25" customHeight="1" x14ac:dyDescent="0.4">
      <c r="A70" s="809"/>
      <c r="B70" s="799" t="s">
        <v>147</v>
      </c>
      <c r="C70" s="828">
        <f>AVERAGE(C49:C68)</f>
        <v>258.91899999999998</v>
      </c>
      <c r="D70" s="829">
        <f>AVERAGE(D49:D68)</f>
        <v>88.280974384904013</v>
      </c>
      <c r="F70" s="859"/>
    </row>
    <row r="71" spans="1:7" ht="26.25" customHeight="1" x14ac:dyDescent="0.4">
      <c r="A71" s="809"/>
      <c r="B71" s="799" t="s">
        <v>87</v>
      </c>
      <c r="C71" s="830">
        <f>STDEV(C49:C68)/C70</f>
        <v>5.7855188152836634E-3</v>
      </c>
      <c r="D71" s="818">
        <f>STDEV(D49:D68)/D70</f>
        <v>5.7855188152836903E-3</v>
      </c>
      <c r="F71" s="860"/>
    </row>
    <row r="72" spans="1:7" ht="27" customHeight="1" x14ac:dyDescent="0.4">
      <c r="A72" s="809"/>
      <c r="B72" s="804" t="s">
        <v>20</v>
      </c>
      <c r="C72" s="831">
        <f>COUNT(C49:C68)</f>
        <v>20</v>
      </c>
      <c r="D72" s="819">
        <f>COUNT(D49:D68)</f>
        <v>20</v>
      </c>
      <c r="F72" s="861"/>
    </row>
    <row r="73" spans="1:7" ht="18.75" customHeight="1" x14ac:dyDescent="0.3">
      <c r="A73" s="809"/>
      <c r="B73" s="820"/>
      <c r="C73" s="820"/>
      <c r="D73" s="801"/>
      <c r="E73" s="816"/>
      <c r="F73" s="800"/>
      <c r="G73" s="821"/>
    </row>
    <row r="74" spans="1:7" ht="19.5" customHeight="1" x14ac:dyDescent="0.3">
      <c r="A74" s="832"/>
      <c r="B74" s="832"/>
      <c r="C74" s="833"/>
      <c r="D74" s="833"/>
      <c r="E74" s="833"/>
      <c r="F74" s="833"/>
      <c r="G74" s="833"/>
    </row>
    <row r="75" spans="1:7" ht="18.75" customHeight="1" x14ac:dyDescent="0.3">
      <c r="A75" s="788"/>
      <c r="B75" s="1013" t="s">
        <v>26</v>
      </c>
      <c r="C75" s="1013"/>
      <c r="D75" s="788"/>
      <c r="E75" s="834" t="s">
        <v>27</v>
      </c>
      <c r="F75" s="835"/>
      <c r="G75" s="841" t="s">
        <v>28</v>
      </c>
    </row>
    <row r="76" spans="1:7" ht="60" customHeight="1" x14ac:dyDescent="0.3">
      <c r="A76" s="836" t="s">
        <v>29</v>
      </c>
      <c r="B76" s="837"/>
      <c r="C76" s="837"/>
      <c r="D76" s="788"/>
      <c r="E76" s="837"/>
      <c r="F76" s="820"/>
      <c r="G76" s="838"/>
    </row>
    <row r="77" spans="1:7" ht="60" customHeight="1" x14ac:dyDescent="0.3">
      <c r="A77" s="836" t="s">
        <v>30</v>
      </c>
      <c r="B77" s="839"/>
      <c r="C77" s="839"/>
      <c r="D77" s="788"/>
      <c r="E77" s="839"/>
      <c r="F77" s="820"/>
      <c r="G77" s="840"/>
    </row>
    <row r="250" spans="1:1" x14ac:dyDescent="0.2">
      <c r="A25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10">
    <mergeCell ref="A1:G7"/>
    <mergeCell ref="A8:G14"/>
    <mergeCell ref="F50:G50"/>
    <mergeCell ref="B75:C75"/>
    <mergeCell ref="F31:G31"/>
    <mergeCell ref="F48:G48"/>
    <mergeCell ref="A16:G16"/>
    <mergeCell ref="B18:C18"/>
    <mergeCell ref="B20:C20"/>
    <mergeCell ref="D27:G27"/>
  </mergeCells>
  <conditionalFormatting sqref="D49">
    <cfRule type="cellIs" dxfId="39" priority="1" operator="notBetween">
      <formula>$G$56</formula>
      <formula>$G$57</formula>
    </cfRule>
  </conditionalFormatting>
  <conditionalFormatting sqref="D50">
    <cfRule type="cellIs" dxfId="38" priority="2" operator="notBetween">
      <formula>$G$56</formula>
      <formula>$G$57</formula>
    </cfRule>
  </conditionalFormatting>
  <conditionalFormatting sqref="D51">
    <cfRule type="cellIs" dxfId="37" priority="3" operator="notBetween">
      <formula>$G$56</formula>
      <formula>$G$57</formula>
    </cfRule>
  </conditionalFormatting>
  <conditionalFormatting sqref="D52">
    <cfRule type="cellIs" dxfId="36" priority="4" operator="notBetween">
      <formula>$G$56</formula>
      <formula>$G$57</formula>
    </cfRule>
  </conditionalFormatting>
  <conditionalFormatting sqref="D53">
    <cfRule type="cellIs" dxfId="35" priority="5" operator="notBetween">
      <formula>$G$56</formula>
      <formula>$G$57</formula>
    </cfRule>
  </conditionalFormatting>
  <conditionalFormatting sqref="D54">
    <cfRule type="cellIs" dxfId="34" priority="6" operator="notBetween">
      <formula>$G$56</formula>
      <formula>$G$57</formula>
    </cfRule>
  </conditionalFormatting>
  <conditionalFormatting sqref="D55">
    <cfRule type="cellIs" dxfId="33" priority="7" operator="notBetween">
      <formula>$G$56</formula>
      <formula>$G$57</formula>
    </cfRule>
  </conditionalFormatting>
  <conditionalFormatting sqref="D56">
    <cfRule type="cellIs" dxfId="32" priority="8" operator="notBetween">
      <formula>$G$56</formula>
      <formula>$G$57</formula>
    </cfRule>
  </conditionalFormatting>
  <conditionalFormatting sqref="D57">
    <cfRule type="cellIs" dxfId="31" priority="9" operator="notBetween">
      <formula>$G$56</formula>
      <formula>$G$57</formula>
    </cfRule>
  </conditionalFormatting>
  <conditionalFormatting sqref="D58">
    <cfRule type="cellIs" dxfId="30" priority="10" operator="notBetween">
      <formula>$G$56</formula>
      <formula>$G$57</formula>
    </cfRule>
  </conditionalFormatting>
  <conditionalFormatting sqref="D59">
    <cfRule type="cellIs" dxfId="29" priority="11" operator="notBetween">
      <formula>$G$56</formula>
      <formula>$G$57</formula>
    </cfRule>
  </conditionalFormatting>
  <conditionalFormatting sqref="D60">
    <cfRule type="cellIs" dxfId="28" priority="12" operator="notBetween">
      <formula>$G$56</formula>
      <formula>$G$57</formula>
    </cfRule>
  </conditionalFormatting>
  <conditionalFormatting sqref="D61">
    <cfRule type="cellIs" dxfId="27" priority="13" operator="notBetween">
      <formula>$G$56</formula>
      <formula>$G$57</formula>
    </cfRule>
  </conditionalFormatting>
  <conditionalFormatting sqref="D62">
    <cfRule type="cellIs" dxfId="26" priority="14" operator="notBetween">
      <formula>$G$56</formula>
      <formula>$G$57</formula>
    </cfRule>
  </conditionalFormatting>
  <conditionalFormatting sqref="D63">
    <cfRule type="cellIs" dxfId="25" priority="15" operator="notBetween">
      <formula>$G$56</formula>
      <formula>$G$57</formula>
    </cfRule>
  </conditionalFormatting>
  <conditionalFormatting sqref="D64">
    <cfRule type="cellIs" dxfId="24" priority="16" operator="notBetween">
      <formula>$G$56</formula>
      <formula>$G$57</formula>
    </cfRule>
  </conditionalFormatting>
  <conditionalFormatting sqref="D65">
    <cfRule type="cellIs" dxfId="23" priority="17" operator="notBetween">
      <formula>$G$56</formula>
      <formula>$G$57</formula>
    </cfRule>
  </conditionalFormatting>
  <conditionalFormatting sqref="D66">
    <cfRule type="cellIs" dxfId="22" priority="18" operator="notBetween">
      <formula>$G$56</formula>
      <formula>$G$57</formula>
    </cfRule>
  </conditionalFormatting>
  <conditionalFormatting sqref="D67">
    <cfRule type="cellIs" dxfId="21" priority="19" operator="notBetween">
      <formula>$G$56</formula>
      <formula>$G$57</formula>
    </cfRule>
  </conditionalFormatting>
  <conditionalFormatting sqref="D68">
    <cfRule type="cellIs" dxfId="20" priority="20" operator="notBetween">
      <formula>$G$56</formula>
      <formula>$G$57</formula>
    </cfRule>
  </conditionalFormatting>
  <pageMargins left="0.7" right="0.7" top="0.75" bottom="0.75" header="0.3" footer="0.3"/>
  <pageSetup scale="34" orientation="portrait" r:id="rId1"/>
  <headerFooter>
    <oddHeader>&amp;LVer 1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31" zoomScale="60" zoomScaleNormal="70" workbookViewId="0">
      <selection activeCell="D68" sqref="D68"/>
    </sheetView>
  </sheetViews>
  <sheetFormatPr defaultRowHeight="12.75" x14ac:dyDescent="0.2"/>
  <cols>
    <col min="1" max="1" width="38.42578125" customWidth="1"/>
    <col min="2" max="2" width="35.7109375" customWidth="1"/>
    <col min="3" max="3" width="23.28515625" customWidth="1"/>
    <col min="4" max="4" width="25.42578125" customWidth="1"/>
    <col min="5" max="5" width="22.7109375" customWidth="1"/>
    <col min="6" max="6" width="29.42578125" customWidth="1"/>
    <col min="7" max="7" width="33.42578125" customWidth="1"/>
  </cols>
  <sheetData>
    <row r="1" spans="1:7" ht="14.25" customHeight="1" x14ac:dyDescent="0.2">
      <c r="A1" s="1014" t="s">
        <v>134</v>
      </c>
      <c r="B1" s="1014"/>
      <c r="C1" s="1014"/>
      <c r="D1" s="1014"/>
      <c r="E1" s="1014"/>
      <c r="F1" s="1014"/>
      <c r="G1" s="1014"/>
    </row>
    <row r="2" spans="1:7" ht="14.25" customHeight="1" x14ac:dyDescent="0.2">
      <c r="A2" s="1014"/>
      <c r="B2" s="1014"/>
      <c r="C2" s="1014"/>
      <c r="D2" s="1014"/>
      <c r="E2" s="1014"/>
      <c r="F2" s="1014"/>
      <c r="G2" s="1014"/>
    </row>
    <row r="3" spans="1:7" ht="14.25" customHeight="1" x14ac:dyDescent="0.2">
      <c r="A3" s="1014"/>
      <c r="B3" s="1014"/>
      <c r="C3" s="1014"/>
      <c r="D3" s="1014"/>
      <c r="E3" s="1014"/>
      <c r="F3" s="1014"/>
      <c r="G3" s="1014"/>
    </row>
    <row r="4" spans="1:7" ht="14.25" customHeight="1" x14ac:dyDescent="0.2">
      <c r="A4" s="1014"/>
      <c r="B4" s="1014"/>
      <c r="C4" s="1014"/>
      <c r="D4" s="1014"/>
      <c r="E4" s="1014"/>
      <c r="F4" s="1014"/>
      <c r="G4" s="1014"/>
    </row>
    <row r="5" spans="1:7" ht="14.25" customHeight="1" x14ac:dyDescent="0.2">
      <c r="A5" s="1014"/>
      <c r="B5" s="1014"/>
      <c r="C5" s="1014"/>
      <c r="D5" s="1014"/>
      <c r="E5" s="1014"/>
      <c r="F5" s="1014"/>
      <c r="G5" s="1014"/>
    </row>
    <row r="6" spans="1:7" ht="14.25" customHeight="1" x14ac:dyDescent="0.2">
      <c r="A6" s="1014"/>
      <c r="B6" s="1014"/>
      <c r="C6" s="1014"/>
      <c r="D6" s="1014"/>
      <c r="E6" s="1014"/>
      <c r="F6" s="1014"/>
      <c r="G6" s="1014"/>
    </row>
    <row r="7" spans="1:7" ht="14.25" customHeight="1" x14ac:dyDescent="0.2">
      <c r="A7" s="1014"/>
      <c r="B7" s="1014"/>
      <c r="C7" s="1014"/>
      <c r="D7" s="1014"/>
      <c r="E7" s="1014"/>
      <c r="F7" s="1014"/>
      <c r="G7" s="1014"/>
    </row>
    <row r="8" spans="1:7" ht="14.25" customHeight="1" x14ac:dyDescent="0.2">
      <c r="A8" s="1015" t="s">
        <v>135</v>
      </c>
      <c r="B8" s="1015"/>
      <c r="C8" s="1015"/>
      <c r="D8" s="1015"/>
      <c r="E8" s="1015"/>
      <c r="F8" s="1015"/>
      <c r="G8" s="1015"/>
    </row>
    <row r="9" spans="1:7" ht="14.25" customHeight="1" x14ac:dyDescent="0.2">
      <c r="A9" s="1015"/>
      <c r="B9" s="1015"/>
      <c r="C9" s="1015"/>
      <c r="D9" s="1015"/>
      <c r="E9" s="1015"/>
      <c r="F9" s="1015"/>
      <c r="G9" s="1015"/>
    </row>
    <row r="10" spans="1:7" ht="14.25" customHeight="1" x14ac:dyDescent="0.2">
      <c r="A10" s="1015"/>
      <c r="B10" s="1015"/>
      <c r="C10" s="1015"/>
      <c r="D10" s="1015"/>
      <c r="E10" s="1015"/>
      <c r="F10" s="1015"/>
      <c r="G10" s="1015"/>
    </row>
    <row r="11" spans="1:7" ht="14.25" customHeight="1" x14ac:dyDescent="0.2">
      <c r="A11" s="1015"/>
      <c r="B11" s="1015"/>
      <c r="C11" s="1015"/>
      <c r="D11" s="1015"/>
      <c r="E11" s="1015"/>
      <c r="F11" s="1015"/>
      <c r="G11" s="1015"/>
    </row>
    <row r="12" spans="1:7" ht="14.25" customHeight="1" x14ac:dyDescent="0.2">
      <c r="A12" s="1015"/>
      <c r="B12" s="1015"/>
      <c r="C12" s="1015"/>
      <c r="D12" s="1015"/>
      <c r="E12" s="1015"/>
      <c r="F12" s="1015"/>
      <c r="G12" s="1015"/>
    </row>
    <row r="13" spans="1:7" ht="14.25" customHeight="1" x14ac:dyDescent="0.2">
      <c r="A13" s="1015"/>
      <c r="B13" s="1015"/>
      <c r="C13" s="1015"/>
      <c r="D13" s="1015"/>
      <c r="E13" s="1015"/>
      <c r="F13" s="1015"/>
      <c r="G13" s="1015"/>
    </row>
    <row r="14" spans="1:7" ht="14.25" customHeight="1" x14ac:dyDescent="0.2">
      <c r="A14" s="1015"/>
      <c r="B14" s="1015"/>
      <c r="C14" s="1015"/>
      <c r="D14" s="1015"/>
      <c r="E14" s="1015"/>
      <c r="F14" s="1015"/>
      <c r="G14" s="1015"/>
    </row>
    <row r="15" spans="1:7" ht="19.5" customHeight="1" x14ac:dyDescent="0.3">
      <c r="A15" s="878"/>
      <c r="B15" s="878"/>
      <c r="C15" s="878"/>
      <c r="D15" s="878"/>
      <c r="E15" s="878"/>
      <c r="F15" s="878"/>
      <c r="G15" s="878"/>
    </row>
    <row r="16" spans="1:7" ht="19.5" customHeight="1" x14ac:dyDescent="0.3">
      <c r="A16" s="978" t="s">
        <v>31</v>
      </c>
      <c r="B16" s="979"/>
      <c r="C16" s="979"/>
      <c r="D16" s="979"/>
      <c r="E16" s="979"/>
      <c r="F16" s="979"/>
      <c r="G16" s="979"/>
    </row>
    <row r="17" spans="1:7" ht="18.75" customHeight="1" x14ac:dyDescent="0.3">
      <c r="A17" s="879" t="s">
        <v>50</v>
      </c>
      <c r="B17" s="879"/>
      <c r="C17" s="878"/>
      <c r="D17" s="878"/>
      <c r="E17" s="878"/>
      <c r="F17" s="878"/>
      <c r="G17" s="878"/>
    </row>
    <row r="18" spans="1:7" ht="26.25" customHeight="1" x14ac:dyDescent="0.4">
      <c r="A18" s="880" t="s">
        <v>33</v>
      </c>
      <c r="B18" s="1012"/>
      <c r="C18" s="1012"/>
      <c r="D18" s="881"/>
      <c r="E18" s="881"/>
      <c r="F18" s="878"/>
      <c r="G18" s="878"/>
    </row>
    <row r="19" spans="1:7" ht="26.25" customHeight="1" x14ac:dyDescent="0.4">
      <c r="A19" s="880" t="s">
        <v>34</v>
      </c>
      <c r="B19" s="882"/>
      <c r="C19" s="932">
        <v>19</v>
      </c>
      <c r="D19" s="878"/>
      <c r="E19" s="878"/>
      <c r="F19" s="878"/>
      <c r="G19" s="878"/>
    </row>
    <row r="20" spans="1:7" ht="26.25" customHeight="1" x14ac:dyDescent="0.4">
      <c r="A20" s="880" t="s">
        <v>35</v>
      </c>
      <c r="B20" s="983"/>
      <c r="C20" s="983"/>
      <c r="D20" s="878"/>
      <c r="E20" s="878"/>
      <c r="F20" s="878"/>
      <c r="G20" s="878"/>
    </row>
    <row r="21" spans="1:7" ht="26.25" customHeight="1" x14ac:dyDescent="0.4">
      <c r="A21" s="880" t="s">
        <v>36</v>
      </c>
      <c r="B21" s="883"/>
      <c r="C21" s="883"/>
      <c r="D21" s="884"/>
      <c r="E21" s="884"/>
      <c r="F21" s="884"/>
      <c r="G21" s="884"/>
    </row>
    <row r="22" spans="1:7" ht="26.25" customHeight="1" x14ac:dyDescent="0.4">
      <c r="A22" s="880" t="s">
        <v>37</v>
      </c>
      <c r="B22" s="885"/>
      <c r="C22" s="886"/>
      <c r="D22" s="878"/>
      <c r="E22" s="878"/>
      <c r="F22" s="878"/>
      <c r="G22" s="878"/>
    </row>
    <row r="23" spans="1:7" ht="26.25" customHeight="1" x14ac:dyDescent="0.4">
      <c r="A23" s="880" t="s">
        <v>38</v>
      </c>
      <c r="B23" s="885"/>
      <c r="C23" s="886"/>
      <c r="D23" s="878"/>
      <c r="E23" s="878"/>
      <c r="F23" s="878"/>
      <c r="G23" s="878"/>
    </row>
    <row r="24" spans="1:7" ht="18.75" customHeight="1" x14ac:dyDescent="0.3">
      <c r="A24" s="880"/>
      <c r="B24" s="887"/>
      <c r="C24" s="878"/>
      <c r="D24" s="878"/>
      <c r="E24" s="878"/>
      <c r="F24" s="878"/>
      <c r="G24" s="878"/>
    </row>
    <row r="25" spans="1:7" ht="18.75" customHeight="1" x14ac:dyDescent="0.3">
      <c r="A25" s="879" t="s">
        <v>1</v>
      </c>
      <c r="B25" s="895" t="s">
        <v>136</v>
      </c>
      <c r="C25" s="878"/>
      <c r="D25" s="878"/>
      <c r="E25" s="878"/>
      <c r="F25" s="878"/>
      <c r="G25" s="878"/>
    </row>
    <row r="26" spans="1:7" ht="19.5" customHeight="1" x14ac:dyDescent="0.3">
      <c r="A26" s="878" t="s">
        <v>89</v>
      </c>
      <c r="B26" s="896">
        <f>B21</f>
        <v>0</v>
      </c>
      <c r="C26" s="878"/>
      <c r="D26" s="878"/>
      <c r="E26" s="878"/>
      <c r="F26" s="878"/>
      <c r="G26" s="878"/>
    </row>
    <row r="27" spans="1:7" ht="27" customHeight="1" x14ac:dyDescent="0.4">
      <c r="A27" s="897" t="s">
        <v>137</v>
      </c>
      <c r="B27" s="967">
        <v>88.280974384903999</v>
      </c>
      <c r="C27" s="878">
        <f>B20</f>
        <v>0</v>
      </c>
      <c r="D27" s="1016" t="s">
        <v>138</v>
      </c>
      <c r="E27" s="1017"/>
      <c r="F27" s="1017"/>
      <c r="G27" s="1017"/>
    </row>
    <row r="28" spans="1:7" ht="17.25" customHeight="1" x14ac:dyDescent="0.3">
      <c r="A28" s="898"/>
      <c r="B28" s="898"/>
      <c r="C28" s="898"/>
      <c r="D28" s="899"/>
      <c r="E28" s="899"/>
      <c r="F28" s="899"/>
      <c r="G28" s="899"/>
    </row>
    <row r="29" spans="1:7" ht="38.25" customHeight="1" x14ac:dyDescent="0.3">
      <c r="A29" s="893"/>
      <c r="B29" s="938" t="s">
        <v>139</v>
      </c>
      <c r="C29" s="940" t="s">
        <v>140</v>
      </c>
      <c r="D29" s="900" t="s">
        <v>141</v>
      </c>
      <c r="F29" s="912"/>
      <c r="G29" s="878"/>
    </row>
    <row r="30" spans="1:7" ht="27" customHeight="1" x14ac:dyDescent="0.4">
      <c r="A30" s="893"/>
      <c r="B30" s="901">
        <v>1</v>
      </c>
      <c r="C30" s="941">
        <v>259.02</v>
      </c>
      <c r="D30" s="939">
        <f t="shared" ref="D30:D39" si="0">IF(ISBLANK(C30),"-",C30/$C$41*$B$27)</f>
        <v>88.315411326236514</v>
      </c>
      <c r="F30" s="895"/>
      <c r="G30" s="878"/>
    </row>
    <row r="31" spans="1:7" ht="26.25" customHeight="1" x14ac:dyDescent="0.4">
      <c r="A31" s="893"/>
      <c r="B31" s="902">
        <v>2</v>
      </c>
      <c r="C31" s="942">
        <v>261.08</v>
      </c>
      <c r="D31" s="903">
        <f t="shared" si="0"/>
        <v>89.017788545493914</v>
      </c>
      <c r="F31" s="990" t="s">
        <v>142</v>
      </c>
      <c r="G31" s="992"/>
    </row>
    <row r="32" spans="1:7" ht="26.25" customHeight="1" x14ac:dyDescent="0.4">
      <c r="A32" s="893"/>
      <c r="B32" s="902">
        <v>3</v>
      </c>
      <c r="C32" s="942">
        <v>260.08999999999997</v>
      </c>
      <c r="D32" s="903">
        <f t="shared" si="0"/>
        <v>88.680238328472143</v>
      </c>
      <c r="F32" s="955" t="s">
        <v>47</v>
      </c>
      <c r="G32" s="956">
        <f>D41</f>
        <v>88.280974384903999</v>
      </c>
    </row>
    <row r="33" spans="1:7" ht="26.25" customHeight="1" x14ac:dyDescent="0.4">
      <c r="A33" s="893"/>
      <c r="B33" s="902">
        <v>4</v>
      </c>
      <c r="C33" s="942">
        <v>257.73</v>
      </c>
      <c r="D33" s="903">
        <f t="shared" si="0"/>
        <v>87.87557316466274</v>
      </c>
      <c r="F33" s="955" t="s">
        <v>143</v>
      </c>
      <c r="G33" s="957">
        <v>2.4</v>
      </c>
    </row>
    <row r="34" spans="1:7" ht="26.25" customHeight="1" x14ac:dyDescent="0.4">
      <c r="A34" s="893"/>
      <c r="B34" s="902">
        <v>5</v>
      </c>
      <c r="C34" s="942">
        <v>256.26</v>
      </c>
      <c r="D34" s="903">
        <f t="shared" si="0"/>
        <v>87.374362236357697</v>
      </c>
      <c r="F34" s="955" t="s">
        <v>144</v>
      </c>
      <c r="G34" s="956">
        <f>STDEV(D30:D39)</f>
        <v>0.52474701427145476</v>
      </c>
    </row>
    <row r="35" spans="1:7" ht="26.25" customHeight="1" x14ac:dyDescent="0.4">
      <c r="A35" s="893"/>
      <c r="B35" s="902">
        <v>6</v>
      </c>
      <c r="C35" s="942">
        <v>257.31</v>
      </c>
      <c r="D35" s="903">
        <f t="shared" si="0"/>
        <v>87.732370042289858</v>
      </c>
      <c r="F35" s="955" t="s">
        <v>145</v>
      </c>
      <c r="G35" s="956">
        <f>IF(OR(D41&lt;98.5,D41&gt;101.5),(IF(D41&lt;98.5,98.5,101.5)),G32)</f>
        <v>98.5</v>
      </c>
    </row>
    <row r="36" spans="1:7" ht="27" customHeight="1" x14ac:dyDescent="0.4">
      <c r="A36" s="893"/>
      <c r="B36" s="902">
        <v>7</v>
      </c>
      <c r="C36" s="942">
        <v>258.41000000000003</v>
      </c>
      <c r="D36" s="903">
        <f t="shared" si="0"/>
        <v>88.107425838980717</v>
      </c>
      <c r="F36" s="963" t="s">
        <v>146</v>
      </c>
      <c r="G36" s="965">
        <f>ABS(G35-G32)+(G33*G34)</f>
        <v>11.478418449347492</v>
      </c>
    </row>
    <row r="37" spans="1:7" ht="26.25" customHeight="1" x14ac:dyDescent="0.4">
      <c r="A37" s="893"/>
      <c r="B37" s="902">
        <v>8</v>
      </c>
      <c r="C37" s="942">
        <v>259.33</v>
      </c>
      <c r="D37" s="903">
        <f t="shared" si="0"/>
        <v>88.421108868940308</v>
      </c>
    </row>
    <row r="38" spans="1:7" ht="26.25" customHeight="1" x14ac:dyDescent="0.4">
      <c r="A38" s="893"/>
      <c r="B38" s="902">
        <v>9</v>
      </c>
      <c r="C38" s="942">
        <v>259.11</v>
      </c>
      <c r="D38" s="903">
        <f t="shared" si="0"/>
        <v>88.346097709602134</v>
      </c>
    </row>
    <row r="39" spans="1:7" ht="27" customHeight="1" x14ac:dyDescent="0.4">
      <c r="A39" s="888"/>
      <c r="B39" s="904">
        <v>10</v>
      </c>
      <c r="C39" s="943">
        <v>260.85000000000002</v>
      </c>
      <c r="D39" s="905">
        <f t="shared" si="0"/>
        <v>88.93936778800402</v>
      </c>
    </row>
    <row r="40" spans="1:7" ht="18.75" customHeight="1" x14ac:dyDescent="0.3">
      <c r="A40" s="888"/>
      <c r="B40" s="902"/>
      <c r="C40" s="892"/>
      <c r="D40" s="936"/>
    </row>
    <row r="41" spans="1:7" ht="18.75" customHeight="1" x14ac:dyDescent="0.3">
      <c r="A41" s="899"/>
      <c r="B41" s="889" t="s">
        <v>147</v>
      </c>
      <c r="C41" s="966">
        <f>AVERAGE(C30:C39)</f>
        <v>258.91899999999998</v>
      </c>
      <c r="D41" s="907">
        <f>AVERAGE(D30:D39)</f>
        <v>88.280974384903999</v>
      </c>
    </row>
    <row r="42" spans="1:7" ht="18.75" customHeight="1" x14ac:dyDescent="0.3">
      <c r="A42" s="899"/>
      <c r="B42" s="889" t="s">
        <v>87</v>
      </c>
      <c r="C42" s="908">
        <f>STDEV(C30:C39)/C41</f>
        <v>5.9440555332291823E-3</v>
      </c>
      <c r="D42" s="908">
        <f>STDEV(D30:D39)/D41</f>
        <v>5.9440555332292101E-3</v>
      </c>
    </row>
    <row r="43" spans="1:7" ht="19.5" customHeight="1" x14ac:dyDescent="0.3">
      <c r="A43" s="899"/>
      <c r="B43" s="894" t="s">
        <v>20</v>
      </c>
      <c r="C43" s="909">
        <f>COUNT(C30:C39)</f>
        <v>10</v>
      </c>
      <c r="D43" s="909">
        <f>COUNT(D30:D39)</f>
        <v>10</v>
      </c>
    </row>
    <row r="44" spans="1:7" ht="18.75" customHeight="1" x14ac:dyDescent="0.3">
      <c r="A44" s="899"/>
      <c r="B44" s="910"/>
      <c r="C44" s="910"/>
      <c r="D44" s="891"/>
      <c r="E44" s="906"/>
      <c r="F44" s="890"/>
      <c r="G44" s="911"/>
    </row>
    <row r="45" spans="1:7" ht="18.75" customHeight="1" x14ac:dyDescent="0.3">
      <c r="A45" s="878"/>
      <c r="B45" s="878"/>
      <c r="C45" s="878"/>
      <c r="D45" s="878"/>
      <c r="E45" s="878"/>
      <c r="F45" s="878"/>
      <c r="G45" s="878"/>
    </row>
    <row r="46" spans="1:7" ht="18.75" customHeight="1" x14ac:dyDescent="0.3">
      <c r="A46" s="879" t="s">
        <v>1</v>
      </c>
      <c r="B46" s="895" t="s">
        <v>148</v>
      </c>
      <c r="C46" s="878"/>
      <c r="D46" s="878"/>
      <c r="E46" s="878"/>
      <c r="F46" s="878"/>
      <c r="G46" s="878"/>
    </row>
    <row r="47" spans="1:7" ht="17.25" customHeight="1" x14ac:dyDescent="0.3">
      <c r="A47" s="898"/>
      <c r="B47" s="898"/>
      <c r="C47" s="898"/>
      <c r="D47" s="899"/>
      <c r="E47" s="899"/>
      <c r="F47" s="899"/>
      <c r="G47" s="899"/>
    </row>
    <row r="48" spans="1:7" ht="37.5" customHeight="1" x14ac:dyDescent="0.3">
      <c r="A48" s="893"/>
      <c r="B48" s="938" t="s">
        <v>139</v>
      </c>
      <c r="C48" s="940" t="s">
        <v>140</v>
      </c>
      <c r="D48" s="900" t="s">
        <v>141</v>
      </c>
      <c r="E48" s="944"/>
      <c r="F48" s="968"/>
      <c r="G48" s="968"/>
    </row>
    <row r="49" spans="1:7" ht="27" customHeight="1" x14ac:dyDescent="0.4">
      <c r="A49" s="893"/>
      <c r="B49" s="913">
        <v>1</v>
      </c>
      <c r="C49" s="914">
        <v>259.02</v>
      </c>
      <c r="D49" s="933">
        <f t="shared" ref="D49:D68" si="1">IF(ISBLANK(C49),"-",C49/$C$70*$B$27)</f>
        <v>88.315411326236514</v>
      </c>
      <c r="E49" s="945"/>
      <c r="F49" s="954"/>
      <c r="G49" s="952"/>
    </row>
    <row r="50" spans="1:7" ht="26.25" customHeight="1" x14ac:dyDescent="0.4">
      <c r="A50" s="893"/>
      <c r="B50" s="915">
        <v>2</v>
      </c>
      <c r="C50" s="916">
        <v>261.08</v>
      </c>
      <c r="D50" s="934">
        <f t="shared" si="1"/>
        <v>89.017788545493914</v>
      </c>
      <c r="E50" s="945"/>
      <c r="F50" s="990" t="s">
        <v>142</v>
      </c>
      <c r="G50" s="992"/>
    </row>
    <row r="51" spans="1:7" ht="26.25" customHeight="1" x14ac:dyDescent="0.4">
      <c r="A51" s="893"/>
      <c r="B51" s="915">
        <v>3</v>
      </c>
      <c r="C51" s="916">
        <v>260.08999999999997</v>
      </c>
      <c r="D51" s="934">
        <f t="shared" si="1"/>
        <v>88.680238328472143</v>
      </c>
      <c r="E51" s="945"/>
      <c r="F51" s="955" t="s">
        <v>47</v>
      </c>
      <c r="G51" s="956">
        <f>AVERAGE(D49:D68)</f>
        <v>88.280974384904013</v>
      </c>
    </row>
    <row r="52" spans="1:7" ht="26.25" customHeight="1" x14ac:dyDescent="0.4">
      <c r="A52" s="893"/>
      <c r="B52" s="915">
        <v>4</v>
      </c>
      <c r="C52" s="916">
        <v>257.73</v>
      </c>
      <c r="D52" s="934">
        <f t="shared" si="1"/>
        <v>87.87557316466274</v>
      </c>
      <c r="E52" s="945"/>
      <c r="F52" s="955" t="s">
        <v>143</v>
      </c>
      <c r="G52" s="957">
        <v>2</v>
      </c>
    </row>
    <row r="53" spans="1:7" ht="26.25" customHeight="1" x14ac:dyDescent="0.4">
      <c r="A53" s="893"/>
      <c r="B53" s="915">
        <v>5</v>
      </c>
      <c r="C53" s="916">
        <v>256.26</v>
      </c>
      <c r="D53" s="934">
        <f t="shared" si="1"/>
        <v>87.374362236357697</v>
      </c>
      <c r="E53" s="945"/>
      <c r="F53" s="955" t="s">
        <v>144</v>
      </c>
      <c r="G53" s="956">
        <f>STDEV(D49:D68)</f>
        <v>0.51075123833543967</v>
      </c>
    </row>
    <row r="54" spans="1:7" ht="27" customHeight="1" x14ac:dyDescent="0.4">
      <c r="A54" s="893"/>
      <c r="B54" s="915">
        <v>6</v>
      </c>
      <c r="C54" s="916">
        <v>257.31</v>
      </c>
      <c r="D54" s="934">
        <f t="shared" si="1"/>
        <v>87.732370042289858</v>
      </c>
      <c r="E54" s="945"/>
      <c r="F54" s="958" t="s">
        <v>145</v>
      </c>
      <c r="G54" s="959">
        <f>IF(OR(D70&lt;98.5,D70&gt;101.5),(IF(D70&lt;98.5,98.5,101.5)),G51)</f>
        <v>98.5</v>
      </c>
    </row>
    <row r="55" spans="1:7" ht="26.25" customHeight="1" x14ac:dyDescent="0.4">
      <c r="A55" s="893"/>
      <c r="B55" s="915">
        <v>7</v>
      </c>
      <c r="C55" s="916">
        <v>258.41000000000003</v>
      </c>
      <c r="D55" s="934">
        <f t="shared" si="1"/>
        <v>88.107425838980717</v>
      </c>
      <c r="E55" s="945"/>
      <c r="F55" s="960" t="s">
        <v>149</v>
      </c>
      <c r="G55" s="961">
        <f>ABS(G54-G51)+(G52*G53)</f>
        <v>11.240528091766866</v>
      </c>
    </row>
    <row r="56" spans="1:7" ht="26.25" customHeight="1" x14ac:dyDescent="0.4">
      <c r="A56" s="893"/>
      <c r="B56" s="915">
        <v>8</v>
      </c>
      <c r="C56" s="916">
        <v>259.33</v>
      </c>
      <c r="D56" s="934">
        <f t="shared" si="1"/>
        <v>88.421108868940308</v>
      </c>
      <c r="E56" s="945"/>
      <c r="F56" s="955" t="s">
        <v>150</v>
      </c>
      <c r="G56" s="962">
        <f>(1-(0.01)*(25))*G54</f>
        <v>73.875</v>
      </c>
    </row>
    <row r="57" spans="1:7" ht="27" customHeight="1" x14ac:dyDescent="0.4">
      <c r="A57" s="893"/>
      <c r="B57" s="915" t="str">
        <f>Uniformity!C46</f>
        <v>% Deviation from mean</v>
      </c>
      <c r="C57" s="916">
        <v>259.11</v>
      </c>
      <c r="D57" s="934">
        <f t="shared" si="1"/>
        <v>88.346097709602134</v>
      </c>
      <c r="E57" s="945"/>
      <c r="F57" s="963" t="s">
        <v>151</v>
      </c>
      <c r="G57" s="964">
        <f>(1+(0.01)*(25))*G54</f>
        <v>123.125</v>
      </c>
    </row>
    <row r="58" spans="1:7" ht="26.25" customHeight="1" x14ac:dyDescent="0.4">
      <c r="A58" s="888"/>
      <c r="B58" s="915">
        <v>10</v>
      </c>
      <c r="C58" s="916">
        <v>260.85000000000002</v>
      </c>
      <c r="D58" s="934">
        <f t="shared" si="1"/>
        <v>88.93936778800402</v>
      </c>
      <c r="E58" s="945"/>
    </row>
    <row r="59" spans="1:7" ht="26.25" customHeight="1" x14ac:dyDescent="0.4">
      <c r="A59" s="888"/>
      <c r="B59" s="915">
        <v>11</v>
      </c>
      <c r="C59" s="916">
        <v>259.02</v>
      </c>
      <c r="D59" s="934">
        <f t="shared" si="1"/>
        <v>88.315411326236514</v>
      </c>
      <c r="E59" s="945"/>
    </row>
    <row r="60" spans="1:7" ht="26.25" customHeight="1" x14ac:dyDescent="0.4">
      <c r="A60" s="888"/>
      <c r="B60" s="915">
        <v>12</v>
      </c>
      <c r="C60" s="916">
        <v>261.08</v>
      </c>
      <c r="D60" s="934">
        <f t="shared" si="1"/>
        <v>89.017788545493914</v>
      </c>
      <c r="E60" s="945"/>
    </row>
    <row r="61" spans="1:7" ht="26.25" customHeight="1" x14ac:dyDescent="0.4">
      <c r="A61" s="888"/>
      <c r="B61" s="915">
        <v>13</v>
      </c>
      <c r="C61" s="916">
        <v>260.08999999999997</v>
      </c>
      <c r="D61" s="934">
        <f t="shared" si="1"/>
        <v>88.680238328472143</v>
      </c>
      <c r="E61" s="945"/>
    </row>
    <row r="62" spans="1:7" ht="26.25" customHeight="1" x14ac:dyDescent="0.4">
      <c r="A62" s="888"/>
      <c r="B62" s="915">
        <v>14</v>
      </c>
      <c r="C62" s="916">
        <v>257.73</v>
      </c>
      <c r="D62" s="934">
        <f t="shared" si="1"/>
        <v>87.87557316466274</v>
      </c>
      <c r="E62" s="945"/>
    </row>
    <row r="63" spans="1:7" ht="26.25" customHeight="1" x14ac:dyDescent="0.4">
      <c r="A63" s="888"/>
      <c r="B63" s="915">
        <v>15</v>
      </c>
      <c r="C63" s="916">
        <v>256.26</v>
      </c>
      <c r="D63" s="934">
        <f t="shared" si="1"/>
        <v>87.374362236357697</v>
      </c>
      <c r="E63" s="945"/>
    </row>
    <row r="64" spans="1:7" ht="26.25" customHeight="1" x14ac:dyDescent="0.4">
      <c r="A64" s="888"/>
      <c r="B64" s="915">
        <v>16</v>
      </c>
      <c r="C64" s="916">
        <v>257.31</v>
      </c>
      <c r="D64" s="934">
        <f t="shared" si="1"/>
        <v>87.732370042289858</v>
      </c>
      <c r="E64" s="945"/>
    </row>
    <row r="65" spans="1:7" ht="26.25" customHeight="1" x14ac:dyDescent="0.4">
      <c r="A65" s="888"/>
      <c r="B65" s="915">
        <v>17</v>
      </c>
      <c r="C65" s="916">
        <v>258.41000000000003</v>
      </c>
      <c r="D65" s="934">
        <f t="shared" si="1"/>
        <v>88.107425838980717</v>
      </c>
      <c r="E65" s="945"/>
    </row>
    <row r="66" spans="1:7" ht="26.25" customHeight="1" x14ac:dyDescent="0.4">
      <c r="A66" s="888"/>
      <c r="B66" s="915">
        <v>18</v>
      </c>
      <c r="C66" s="916">
        <v>259.33</v>
      </c>
      <c r="D66" s="934">
        <f t="shared" si="1"/>
        <v>88.421108868940308</v>
      </c>
      <c r="E66" s="945"/>
    </row>
    <row r="67" spans="1:7" ht="26.25" customHeight="1" x14ac:dyDescent="0.4">
      <c r="A67" s="888"/>
      <c r="B67" s="915">
        <v>19</v>
      </c>
      <c r="C67" s="916">
        <v>259.11</v>
      </c>
      <c r="D67" s="934">
        <f t="shared" si="1"/>
        <v>88.346097709602134</v>
      </c>
      <c r="E67" s="945"/>
    </row>
    <row r="68" spans="1:7" ht="27" customHeight="1" x14ac:dyDescent="0.4">
      <c r="A68" s="888"/>
      <c r="B68" s="953">
        <v>20</v>
      </c>
      <c r="C68" s="937">
        <v>260.85000000000002</v>
      </c>
      <c r="D68" s="935">
        <f t="shared" si="1"/>
        <v>88.93936778800402</v>
      </c>
      <c r="E68" s="945"/>
      <c r="F68" s="947"/>
    </row>
    <row r="69" spans="1:7" ht="19.5" customHeight="1" x14ac:dyDescent="0.3">
      <c r="A69" s="888"/>
      <c r="B69" s="902"/>
      <c r="C69" s="892"/>
      <c r="D69" s="946"/>
      <c r="E69" s="917"/>
      <c r="F69" s="948"/>
    </row>
    <row r="70" spans="1:7" ht="26.25" customHeight="1" x14ac:dyDescent="0.4">
      <c r="A70" s="899"/>
      <c r="B70" s="889" t="s">
        <v>147</v>
      </c>
      <c r="C70" s="918">
        <f>AVERAGE(C49:C68)</f>
        <v>258.91899999999998</v>
      </c>
      <c r="D70" s="919">
        <f>AVERAGE(D49:D68)</f>
        <v>88.280974384904013</v>
      </c>
      <c r="F70" s="949"/>
    </row>
    <row r="71" spans="1:7" ht="26.25" customHeight="1" x14ac:dyDescent="0.4">
      <c r="A71" s="899"/>
      <c r="B71" s="889" t="s">
        <v>87</v>
      </c>
      <c r="C71" s="920">
        <f>STDEV(C49:C68)/C70</f>
        <v>5.7855188152836634E-3</v>
      </c>
      <c r="D71" s="908">
        <f>STDEV(D49:D68)/D70</f>
        <v>5.7855188152836903E-3</v>
      </c>
      <c r="F71" s="950"/>
    </row>
    <row r="72" spans="1:7" ht="27" customHeight="1" x14ac:dyDescent="0.4">
      <c r="A72" s="899"/>
      <c r="B72" s="894" t="s">
        <v>20</v>
      </c>
      <c r="C72" s="921">
        <f>COUNT(C49:C68)</f>
        <v>20</v>
      </c>
      <c r="D72" s="909">
        <f>COUNT(D49:D68)</f>
        <v>20</v>
      </c>
      <c r="F72" s="951"/>
    </row>
    <row r="73" spans="1:7" ht="18.75" customHeight="1" x14ac:dyDescent="0.3">
      <c r="A73" s="899"/>
      <c r="B73" s="910"/>
      <c r="C73" s="910"/>
      <c r="D73" s="891"/>
      <c r="E73" s="906"/>
      <c r="F73" s="890"/>
      <c r="G73" s="911"/>
    </row>
    <row r="74" spans="1:7" ht="19.5" customHeight="1" x14ac:dyDescent="0.3">
      <c r="A74" s="922"/>
      <c r="B74" s="922"/>
      <c r="C74" s="923"/>
      <c r="D74" s="923"/>
      <c r="E74" s="923"/>
      <c r="F74" s="923"/>
      <c r="G74" s="923"/>
    </row>
    <row r="75" spans="1:7" ht="18.75" customHeight="1" x14ac:dyDescent="0.3">
      <c r="A75" s="878"/>
      <c r="B75" s="1013" t="s">
        <v>26</v>
      </c>
      <c r="C75" s="1013"/>
      <c r="D75" s="878"/>
      <c r="E75" s="924" t="s">
        <v>27</v>
      </c>
      <c r="F75" s="925"/>
      <c r="G75" s="931" t="s">
        <v>28</v>
      </c>
    </row>
    <row r="76" spans="1:7" ht="60" customHeight="1" x14ac:dyDescent="0.3">
      <c r="A76" s="926" t="s">
        <v>29</v>
      </c>
      <c r="B76" s="927"/>
      <c r="C76" s="927"/>
      <c r="D76" s="878"/>
      <c r="E76" s="927"/>
      <c r="F76" s="910"/>
      <c r="G76" s="928"/>
    </row>
    <row r="77" spans="1:7" ht="60" customHeight="1" x14ac:dyDescent="0.3">
      <c r="A77" s="926" t="s">
        <v>30</v>
      </c>
      <c r="B77" s="929"/>
      <c r="C77" s="929"/>
      <c r="D77" s="878"/>
      <c r="E77" s="929"/>
      <c r="F77" s="910"/>
      <c r="G77" s="930"/>
    </row>
    <row r="250" spans="1:1" x14ac:dyDescent="0.2">
      <c r="A25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10">
    <mergeCell ref="A1:G7"/>
    <mergeCell ref="A8:G14"/>
    <mergeCell ref="F50:G50"/>
    <mergeCell ref="B75:C75"/>
    <mergeCell ref="F31:G31"/>
    <mergeCell ref="F48:G48"/>
    <mergeCell ref="A16:G16"/>
    <mergeCell ref="B18:C18"/>
    <mergeCell ref="B20:C20"/>
    <mergeCell ref="D27:G27"/>
  </mergeCells>
  <conditionalFormatting sqref="D49">
    <cfRule type="cellIs" dxfId="19" priority="1" operator="notBetween">
      <formula>$G$56</formula>
      <formula>$G$57</formula>
    </cfRule>
  </conditionalFormatting>
  <conditionalFormatting sqref="D50">
    <cfRule type="cellIs" dxfId="18" priority="2" operator="notBetween">
      <formula>$G$56</formula>
      <formula>$G$57</formula>
    </cfRule>
  </conditionalFormatting>
  <conditionalFormatting sqref="D51">
    <cfRule type="cellIs" dxfId="17" priority="3" operator="notBetween">
      <formula>$G$56</formula>
      <formula>$G$57</formula>
    </cfRule>
  </conditionalFormatting>
  <conditionalFormatting sqref="D52">
    <cfRule type="cellIs" dxfId="16" priority="4" operator="notBetween">
      <formula>$G$56</formula>
      <formula>$G$57</formula>
    </cfRule>
  </conditionalFormatting>
  <conditionalFormatting sqref="D53">
    <cfRule type="cellIs" dxfId="15" priority="5" operator="notBetween">
      <formula>$G$56</formula>
      <formula>$G$57</formula>
    </cfRule>
  </conditionalFormatting>
  <conditionalFormatting sqref="D54">
    <cfRule type="cellIs" dxfId="14" priority="6" operator="notBetween">
      <formula>$G$56</formula>
      <formula>$G$57</formula>
    </cfRule>
  </conditionalFormatting>
  <conditionalFormatting sqref="D55">
    <cfRule type="cellIs" dxfId="13" priority="7" operator="notBetween">
      <formula>$G$56</formula>
      <formula>$G$57</formula>
    </cfRule>
  </conditionalFormatting>
  <conditionalFormatting sqref="D56">
    <cfRule type="cellIs" dxfId="12" priority="8" operator="notBetween">
      <formula>$G$56</formula>
      <formula>$G$57</formula>
    </cfRule>
  </conditionalFormatting>
  <conditionalFormatting sqref="D57">
    <cfRule type="cellIs" dxfId="11" priority="9" operator="notBetween">
      <formula>$G$56</formula>
      <formula>$G$57</formula>
    </cfRule>
  </conditionalFormatting>
  <conditionalFormatting sqref="D58">
    <cfRule type="cellIs" dxfId="10" priority="10" operator="notBetween">
      <formula>$G$56</formula>
      <formula>$G$57</formula>
    </cfRule>
  </conditionalFormatting>
  <conditionalFormatting sqref="D59">
    <cfRule type="cellIs" dxfId="9" priority="11" operator="notBetween">
      <formula>$G$56</formula>
      <formula>$G$57</formula>
    </cfRule>
  </conditionalFormatting>
  <conditionalFormatting sqref="D60">
    <cfRule type="cellIs" dxfId="8" priority="12" operator="notBetween">
      <formula>$G$56</formula>
      <formula>$G$57</formula>
    </cfRule>
  </conditionalFormatting>
  <conditionalFormatting sqref="D61">
    <cfRule type="cellIs" dxfId="7" priority="13" operator="notBetween">
      <formula>$G$56</formula>
      <formula>$G$57</formula>
    </cfRule>
  </conditionalFormatting>
  <conditionalFormatting sqref="D62">
    <cfRule type="cellIs" dxfId="6" priority="14" operator="notBetween">
      <formula>$G$56</formula>
      <formula>$G$57</formula>
    </cfRule>
  </conditionalFormatting>
  <conditionalFormatting sqref="D63">
    <cfRule type="cellIs" dxfId="5" priority="15" operator="notBetween">
      <formula>$G$56</formula>
      <formula>$G$57</formula>
    </cfRule>
  </conditionalFormatting>
  <conditionalFormatting sqref="D64">
    <cfRule type="cellIs" dxfId="4" priority="16" operator="notBetween">
      <formula>$G$56</formula>
      <formula>$G$57</formula>
    </cfRule>
  </conditionalFormatting>
  <conditionalFormatting sqref="D65">
    <cfRule type="cellIs" dxfId="3" priority="17" operator="notBetween">
      <formula>$G$56</formula>
      <formula>$G$57</formula>
    </cfRule>
  </conditionalFormatting>
  <conditionalFormatting sqref="D66">
    <cfRule type="cellIs" dxfId="2" priority="18" operator="notBetween">
      <formula>$G$56</formula>
      <formula>$G$57</formula>
    </cfRule>
  </conditionalFormatting>
  <conditionalFormatting sqref="D67">
    <cfRule type="cellIs" dxfId="1" priority="19" operator="notBetween">
      <formula>$G$56</formula>
      <formula>$G$57</formula>
    </cfRule>
  </conditionalFormatting>
  <conditionalFormatting sqref="D68">
    <cfRule type="cellIs" dxfId="0" priority="20" operator="notBetween">
      <formula>$G$56</formula>
      <formula>$G$57</formula>
    </cfRule>
  </conditionalFormatting>
  <pageMargins left="0.7" right="0.7" top="0.75" bottom="0.75" header="0.3" footer="0.3"/>
  <pageSetup scale="34" orientation="portrait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SST</vt:lpstr>
      <vt:lpstr>Uniformity 1</vt:lpstr>
      <vt:lpstr>Uniformity</vt:lpstr>
      <vt:lpstr>imipenem</vt:lpstr>
      <vt:lpstr>cilastatin</vt:lpstr>
      <vt:lpstr>imipenem 1</vt:lpstr>
      <vt:lpstr>cilastatin 1</vt:lpstr>
      <vt:lpstr>imipenem 2</vt:lpstr>
      <vt:lpstr>cilastatin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dcterms:created xsi:type="dcterms:W3CDTF">2005-07-05T10:19:27Z</dcterms:created>
  <dcterms:modified xsi:type="dcterms:W3CDTF">2015-09-02T12:33:12Z</dcterms:modified>
  <cp:category/>
</cp:coreProperties>
</file>