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495" windowWidth="20775" windowHeight="9405" activeTab="2"/>
  </bookViews>
  <sheets>
    <sheet name="Uniformity" sheetId="2" r:id="rId1"/>
    <sheet name="SST" sheetId="1" r:id="rId2"/>
    <sheet name="Montelukast" sheetId="3" r:id="rId3"/>
  </sheets>
  <definedNames>
    <definedName name="_xlnm.Print_Area" localSheetId="2">Montelukast!$A$1:$H$83</definedName>
    <definedName name="_xlnm.Print_Area" localSheetId="1">SST!$A$1:$G$48</definedName>
    <definedName name="_xlnm.Print_Area" localSheetId="0">Uniformity!$A$1:$F$44</definedName>
  </definedNames>
  <calcPr calcId="124519"/>
</workbook>
</file>

<file path=xl/calcChain.xml><?xml version="1.0" encoding="utf-8"?>
<calcChain xmlns="http://schemas.openxmlformats.org/spreadsheetml/2006/main">
  <c r="B7" i="1"/>
  <c r="C76" i="3"/>
  <c r="B68"/>
  <c r="B57"/>
  <c r="C56"/>
  <c r="B55"/>
  <c r="B45"/>
  <c r="D48" s="1"/>
  <c r="F42"/>
  <c r="D42"/>
  <c r="B34"/>
  <c r="D44" s="1"/>
  <c r="B30"/>
  <c r="D39" i="2"/>
  <c r="C39"/>
  <c r="C36"/>
  <c r="C40" s="1"/>
  <c r="C35"/>
  <c r="D33"/>
  <c r="D31"/>
  <c r="D30"/>
  <c r="D29"/>
  <c r="D27"/>
  <c r="D26"/>
  <c r="D25"/>
  <c r="D23"/>
  <c r="D22"/>
  <c r="D21"/>
  <c r="D19"/>
  <c r="D18"/>
  <c r="D17"/>
  <c r="D15"/>
  <c r="D14"/>
  <c r="B39" i="1"/>
  <c r="E37"/>
  <c r="D37"/>
  <c r="C37"/>
  <c r="B37"/>
  <c r="B38" s="1"/>
  <c r="B18"/>
  <c r="E16"/>
  <c r="D16"/>
  <c r="C16"/>
  <c r="B16"/>
  <c r="B17" s="1"/>
  <c r="F44" i="3" l="1"/>
  <c r="D16" i="2"/>
  <c r="D20"/>
  <c r="D24"/>
  <c r="D28"/>
  <c r="D32"/>
  <c r="B39"/>
  <c r="D40"/>
  <c r="B69" i="3"/>
  <c r="I39"/>
  <c r="D49"/>
  <c r="D45"/>
  <c r="E40" s="1"/>
  <c r="E38"/>
  <c r="F45"/>
  <c r="D46" l="1"/>
  <c r="E39"/>
  <c r="E41"/>
  <c r="G40"/>
  <c r="F46"/>
  <c r="G39"/>
  <c r="G41"/>
  <c r="G38"/>
  <c r="E42" l="1"/>
  <c r="D52"/>
  <c r="G42"/>
  <c r="D50"/>
  <c r="G70" l="1"/>
  <c r="H70" s="1"/>
  <c r="G67"/>
  <c r="H67" s="1"/>
  <c r="G65"/>
  <c r="H65" s="1"/>
  <c r="G63"/>
  <c r="H63" s="1"/>
  <c r="G61"/>
  <c r="H61" s="1"/>
  <c r="D51"/>
  <c r="G71"/>
  <c r="H71" s="1"/>
  <c r="G69"/>
  <c r="H69" s="1"/>
  <c r="G66"/>
  <c r="H66" s="1"/>
  <c r="G64"/>
  <c r="H64" s="1"/>
  <c r="G62"/>
  <c r="H62" s="1"/>
  <c r="G60"/>
  <c r="H60" s="1"/>
  <c r="G68"/>
  <c r="H68" s="1"/>
  <c r="H72" l="1"/>
  <c r="G76" s="1"/>
  <c r="H74"/>
  <c r="H73" l="1"/>
</calcChain>
</file>

<file path=xl/sharedStrings.xml><?xml version="1.0" encoding="utf-8"?>
<sst xmlns="http://schemas.openxmlformats.org/spreadsheetml/2006/main" count="171" uniqueCount="112">
  <si>
    <t>HPLC System Suitability Report</t>
  </si>
  <si>
    <t>Analysis Data</t>
  </si>
  <si>
    <t>Assay</t>
  </si>
  <si>
    <t>Sample(s)</t>
  </si>
  <si>
    <t>Reference Substance:</t>
  </si>
  <si>
    <t>AERON FT TABLETS</t>
  </si>
  <si>
    <t>% age Purity:</t>
  </si>
  <si>
    <t>NDQD201506262</t>
  </si>
  <si>
    <t>Weight (mg):</t>
  </si>
  <si>
    <t xml:space="preserve">Montalukast Sodium </t>
  </si>
  <si>
    <t>Standard Conc (mg/mL):</t>
  </si>
  <si>
    <t>Montalukast sodium PH.EUR equivalent to Montelukast 4mg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</si>
  <si>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</si>
  <si>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</si>
  <si>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</si>
  <si>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</si>
  <si>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</si>
  <si>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</si>
  <si>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</si>
  <si>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</si>
  <si>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</si>
  <si>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</si>
  <si>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</si>
  <si>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</si>
  <si>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</si>
  <si>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</si>
  <si>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</si>
  <si>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</si>
  <si>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</si>
  <si>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</si>
  <si>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</si>
  <si>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</si>
  <si>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</si>
  <si>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</si>
  <si>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</si>
  <si>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</si>
  <si>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</si>
  <si>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</si>
  <si>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</si>
  <si>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</si>
  <si>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</si>
  <si>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</si>
  <si>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</si>
  <si>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</si>
  <si>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</si>
  <si>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</si>
  <si>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</si>
  <si>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</si>
  <si>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</si>
  <si>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</si>
  <si>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</si>
  <si>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</si>
  <si>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</si>
  <si>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</si>
  <si>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</si>
  <si>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</si>
  <si>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</si>
  <si>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</si>
  <si>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</si>
  <si>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</si>
  <si>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</si>
  <si>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</si>
  <si>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</si>
  <si>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</si>
  <si>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</si>
  <si>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</si>
  <si>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</si>
  <si>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</si>
  <si>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</si>
  <si>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</si>
  <si>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</si>
  <si>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</si>
  <si>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</si>
  <si>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</si>
  <si>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</si>
  <si>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</si>
  <si>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</si>
  <si>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</si>
  <si>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</si>
  <si>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</si>
  <si>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</si>
  <si>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</si>
  <si>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</si>
  <si>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</si>
  <si>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</si>
  <si>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</si>
  <si>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</si>
  <si>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</si>
  <si>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</si>
  <si>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</si>
  <si>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</si>
  <si>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</si>
  <si>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</si>
  <si>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</si>
  <si>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</si>
  <si>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</si>
  <si>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</si>
  <si>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</si>
  <si>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</si>
  <si>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</si>
  <si>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</si>
  <si>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</si>
  <si>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</si>
  <si>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</si>
  <si>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</si>
  <si>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</si>
  <si>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</si>
  <si>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</si>
  <si>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Montelukast Sodium</t>
  </si>
  <si>
    <t>M6-6</t>
  </si>
  <si>
    <t>Dr. Sarah Mwangi</t>
  </si>
  <si>
    <t>27th May 2016</t>
  </si>
</sst>
</file>

<file path=xl/styles.xml><?xml version="1.0" encoding="utf-8"?>
<styleSheet xmlns="http://schemas.openxmlformats.org/spreadsheetml/2006/main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8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0"/>
      <color rgb="FF000000"/>
      <name val="Book Antiqua"/>
      <family val="1"/>
    </font>
    <font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48" xfId="0" applyNumberFormat="1" applyFont="1" applyFill="1" applyBorder="1" applyAlignment="1">
      <alignment horizontal="center"/>
    </xf>
    <xf numFmtId="2" fontId="13" fillId="3" borderId="0" xfId="0" applyNumberFormat="1" applyFont="1" applyFill="1" applyAlignment="1" applyProtection="1">
      <alignment horizontal="center"/>
      <protection locked="0"/>
    </xf>
    <xf numFmtId="0" fontId="13" fillId="3" borderId="16" xfId="0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49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25" fillId="2" borderId="0" xfId="0" applyFont="1" applyFill="1"/>
    <xf numFmtId="0" fontId="26" fillId="2" borderId="7" xfId="0" applyFont="1" applyFill="1" applyBorder="1"/>
    <xf numFmtId="0" fontId="24" fillId="2" borderId="7" xfId="0" applyFont="1" applyFill="1" applyBorder="1"/>
    <xf numFmtId="0" fontId="27" fillId="2" borderId="7" xfId="0" applyFont="1" applyFill="1" applyBorder="1"/>
  </cellXfs>
  <cellStyles count="1">
    <cellStyle name="Normal" xfId="0" builtinId="0"/>
  </cellStyles>
  <dxfs count="26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view="pageBreakPreview" workbookViewId="0">
      <selection activeCell="C10" sqref="C10"/>
    </sheetView>
  </sheetViews>
  <sheetFormatPr defaultRowHeight="15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" spans="1:7" ht="13.5" customHeight="1" thickBot="1">
      <c r="A1" s="229" t="s">
        <v>30</v>
      </c>
      <c r="B1" s="230"/>
      <c r="C1" s="230"/>
      <c r="D1" s="230"/>
      <c r="E1" s="230"/>
      <c r="F1" s="231"/>
      <c r="G1" s="89"/>
    </row>
    <row r="2" spans="1:7" ht="16.5" customHeight="1">
      <c r="A2" s="228" t="s">
        <v>31</v>
      </c>
      <c r="B2" s="228"/>
      <c r="C2" s="228"/>
      <c r="D2" s="228"/>
      <c r="E2" s="228"/>
      <c r="F2" s="228"/>
      <c r="G2" s="88"/>
    </row>
    <row r="4" spans="1:7" ht="16.5" customHeight="1">
      <c r="A4" s="233" t="s">
        <v>32</v>
      </c>
      <c r="B4" s="233"/>
      <c r="C4" s="59" t="s">
        <v>5</v>
      </c>
    </row>
    <row r="5" spans="1:7" ht="16.5" customHeight="1">
      <c r="A5" s="233" t="s">
        <v>33</v>
      </c>
      <c r="B5" s="233"/>
      <c r="C5" s="59" t="s">
        <v>7</v>
      </c>
    </row>
    <row r="6" spans="1:7" ht="16.5" customHeight="1">
      <c r="A6" s="233" t="s">
        <v>34</v>
      </c>
      <c r="B6" s="233"/>
      <c r="C6" s="59" t="s">
        <v>9</v>
      </c>
    </row>
    <row r="7" spans="1:7" ht="16.5" customHeight="1">
      <c r="A7" s="233" t="s">
        <v>35</v>
      </c>
      <c r="B7" s="233"/>
      <c r="C7" s="59" t="s">
        <v>11</v>
      </c>
    </row>
    <row r="8" spans="1:7" ht="16.5" customHeight="1">
      <c r="A8" s="233" t="s">
        <v>36</v>
      </c>
      <c r="B8" s="233"/>
      <c r="C8" s="95">
        <v>42510</v>
      </c>
    </row>
    <row r="9" spans="1:7" ht="16.5" customHeight="1">
      <c r="A9" s="233" t="s">
        <v>37</v>
      </c>
      <c r="B9" s="233"/>
      <c r="C9" s="95">
        <v>42517</v>
      </c>
    </row>
    <row r="10" spans="1:7" ht="16.5" customHeight="1">
      <c r="A10" s="61"/>
      <c r="B10" s="61"/>
      <c r="C10" s="75"/>
    </row>
    <row r="11" spans="1:7" ht="16.5" customHeight="1">
      <c r="A11" s="228" t="s">
        <v>1</v>
      </c>
      <c r="B11" s="228"/>
      <c r="C11" s="58" t="s">
        <v>38</v>
      </c>
      <c r="D11" s="65"/>
    </row>
    <row r="12" spans="1:7" ht="15.75" customHeight="1">
      <c r="A12" s="232"/>
      <c r="B12" s="232"/>
      <c r="C12" s="56"/>
      <c r="D12" s="232"/>
      <c r="E12" s="232"/>
    </row>
    <row r="13" spans="1:7" ht="33.75" customHeight="1">
      <c r="C13" s="84" t="s">
        <v>39</v>
      </c>
      <c r="D13" s="83" t="s">
        <v>40</v>
      </c>
      <c r="E13" s="51"/>
    </row>
    <row r="14" spans="1:7" ht="15.75" customHeight="1">
      <c r="C14" s="93">
        <v>130.61000000000001</v>
      </c>
      <c r="D14" s="85">
        <f t="shared" ref="D14:D33" si="0">(C14-$C$36)/$C$36</f>
        <v>4.5223116088048358E-3</v>
      </c>
      <c r="E14" s="52"/>
    </row>
    <row r="15" spans="1:7" ht="15.75" customHeight="1">
      <c r="C15" s="93">
        <v>127.87</v>
      </c>
      <c r="D15" s="86">
        <f t="shared" si="0"/>
        <v>-1.6551045207733976E-2</v>
      </c>
      <c r="E15" s="52"/>
    </row>
    <row r="16" spans="1:7" ht="15.75" customHeight="1">
      <c r="C16" s="93">
        <v>129.13999999999999</v>
      </c>
      <c r="D16" s="86">
        <f t="shared" si="0"/>
        <v>-6.7834674132070351E-3</v>
      </c>
      <c r="E16" s="52"/>
    </row>
    <row r="17" spans="3:5" ht="15.75" customHeight="1">
      <c r="C17" s="93">
        <v>126.86</v>
      </c>
      <c r="D17" s="86">
        <f t="shared" si="0"/>
        <v>-2.4318961406531142E-2</v>
      </c>
      <c r="E17" s="52"/>
    </row>
    <row r="18" spans="3:5" ht="15.75" customHeight="1">
      <c r="C18" s="93">
        <v>128.74</v>
      </c>
      <c r="D18" s="86">
        <f t="shared" si="0"/>
        <v>-9.8598698681760192E-3</v>
      </c>
      <c r="E18" s="52"/>
    </row>
    <row r="19" spans="3:5" ht="15.75" customHeight="1">
      <c r="C19" s="93">
        <v>132.07</v>
      </c>
      <c r="D19" s="86">
        <f t="shared" si="0"/>
        <v>1.5751180569442108E-2</v>
      </c>
      <c r="E19" s="52"/>
    </row>
    <row r="20" spans="3:5" ht="15.75" customHeight="1">
      <c r="C20" s="93">
        <v>128.59</v>
      </c>
      <c r="D20" s="86">
        <f t="shared" si="0"/>
        <v>-1.1013520788789498E-2</v>
      </c>
      <c r="E20" s="52"/>
    </row>
    <row r="21" spans="3:5" ht="15.75" customHeight="1">
      <c r="C21" s="93">
        <v>131.77000000000001</v>
      </c>
      <c r="D21" s="86">
        <f t="shared" si="0"/>
        <v>1.3443878728215371E-2</v>
      </c>
      <c r="E21" s="52"/>
    </row>
    <row r="22" spans="3:5" ht="15.75" customHeight="1">
      <c r="C22" s="93">
        <v>128.69999999999999</v>
      </c>
      <c r="D22" s="86">
        <f t="shared" si="0"/>
        <v>-1.0167510113673093E-2</v>
      </c>
      <c r="E22" s="52"/>
    </row>
    <row r="23" spans="3:5" ht="15.75" customHeight="1">
      <c r="C23" s="93">
        <v>130.46</v>
      </c>
      <c r="D23" s="86">
        <f t="shared" si="0"/>
        <v>3.3686606881913571E-3</v>
      </c>
      <c r="E23" s="52"/>
    </row>
    <row r="24" spans="3:5" ht="15.75" customHeight="1">
      <c r="C24" s="93">
        <v>132.29</v>
      </c>
      <c r="D24" s="86">
        <f t="shared" si="0"/>
        <v>1.7443201919675137E-2</v>
      </c>
      <c r="E24" s="52"/>
    </row>
    <row r="25" spans="3:5" ht="15.75" customHeight="1">
      <c r="C25" s="93">
        <v>130.09</v>
      </c>
      <c r="D25" s="86">
        <f t="shared" si="0"/>
        <v>5.2298841734484971E-4</v>
      </c>
      <c r="E25" s="52"/>
    </row>
    <row r="26" spans="3:5" ht="15.75" customHeight="1">
      <c r="C26" s="93">
        <v>130.30000000000001</v>
      </c>
      <c r="D26" s="86">
        <f t="shared" si="0"/>
        <v>2.1380997062037197E-3</v>
      </c>
      <c r="E26" s="52"/>
    </row>
    <row r="27" spans="3:5" ht="15.75" customHeight="1">
      <c r="C27" s="93">
        <v>133.57</v>
      </c>
      <c r="D27" s="86">
        <f t="shared" si="0"/>
        <v>2.7287689775576458E-2</v>
      </c>
      <c r="E27" s="52"/>
    </row>
    <row r="28" spans="3:5" ht="15.75" customHeight="1">
      <c r="C28" s="93">
        <v>130.07</v>
      </c>
      <c r="D28" s="86">
        <f t="shared" si="0"/>
        <v>3.6916829459631312E-4</v>
      </c>
      <c r="E28" s="52"/>
    </row>
    <row r="29" spans="3:5" ht="15.75" customHeight="1">
      <c r="C29" s="93">
        <v>129.15</v>
      </c>
      <c r="D29" s="86">
        <f t="shared" si="0"/>
        <v>-6.7065573518326569E-3</v>
      </c>
      <c r="E29" s="52"/>
    </row>
    <row r="30" spans="3:5" ht="15.75" customHeight="1">
      <c r="C30" s="93">
        <v>130.11000000000001</v>
      </c>
      <c r="D30" s="86">
        <f t="shared" si="0"/>
        <v>6.7680854009338645E-4</v>
      </c>
      <c r="E30" s="52"/>
    </row>
    <row r="31" spans="3:5" ht="15.75" customHeight="1">
      <c r="C31" s="93">
        <v>130.58000000000001</v>
      </c>
      <c r="D31" s="86">
        <f t="shared" si="0"/>
        <v>4.2915814246821402E-3</v>
      </c>
      <c r="E31" s="52"/>
    </row>
    <row r="32" spans="3:5" ht="15.75" customHeight="1">
      <c r="C32" s="93">
        <v>128.80000000000001</v>
      </c>
      <c r="D32" s="86">
        <f t="shared" si="0"/>
        <v>-9.3984094999306281E-3</v>
      </c>
      <c r="E32" s="52"/>
    </row>
    <row r="33" spans="1:7" ht="16.5" customHeight="1">
      <c r="C33" s="94">
        <v>130.66999999999999</v>
      </c>
      <c r="D33" s="87">
        <f t="shared" si="0"/>
        <v>4.9837719770500083E-3</v>
      </c>
      <c r="E33" s="52"/>
    </row>
    <row r="34" spans="1:7" ht="16.5" customHeight="1">
      <c r="C34" s="53"/>
      <c r="D34" s="52"/>
      <c r="E34" s="54"/>
    </row>
    <row r="35" spans="1:7" ht="16.5" customHeight="1">
      <c r="B35" s="80" t="s">
        <v>41</v>
      </c>
      <c r="C35" s="81">
        <f>SUM(C14:C34)</f>
        <v>2600.44</v>
      </c>
      <c r="D35" s="76"/>
      <c r="E35" s="53"/>
    </row>
    <row r="36" spans="1:7" ht="17.25" customHeight="1">
      <c r="B36" s="80" t="s">
        <v>42</v>
      </c>
      <c r="C36" s="82">
        <f>AVERAGE(C14:C34)</f>
        <v>130.02199999999999</v>
      </c>
      <c r="E36" s="55"/>
    </row>
    <row r="37" spans="1:7" ht="17.25" customHeight="1">
      <c r="A37" s="59"/>
      <c r="B37" s="77"/>
      <c r="D37" s="57"/>
      <c r="E37" s="55"/>
    </row>
    <row r="38" spans="1:7" ht="33.75" customHeight="1">
      <c r="B38" s="90" t="s">
        <v>42</v>
      </c>
      <c r="C38" s="83" t="s">
        <v>43</v>
      </c>
      <c r="D38" s="78"/>
      <c r="G38" s="57"/>
    </row>
    <row r="39" spans="1:7" ht="17.25" customHeight="1">
      <c r="B39" s="226">
        <f>C36</f>
        <v>130.02199999999999</v>
      </c>
      <c r="C39" s="91">
        <f>-IF(C36&lt;=80,10%,IF(C36&lt;250,7.5%,5%))</f>
        <v>-7.4999999999999997E-2</v>
      </c>
      <c r="D39" s="79">
        <f>IF(C36&lt;=80,C36*0.9,IF(C36&lt;250,C36*0.925,C36*0.95))</f>
        <v>120.27034999999999</v>
      </c>
    </row>
    <row r="40" spans="1:7" ht="17.25" customHeight="1">
      <c r="B40" s="227"/>
      <c r="C40" s="92">
        <f>IF(C36&lt;=80, 10%, IF(C36&lt;250, 7.5%, 5%))</f>
        <v>7.4999999999999997E-2</v>
      </c>
      <c r="D40" s="79">
        <f>IF(C36&lt;=80, C36*1.1, IF(C36&lt;250, C36*1.075, C36*1.05))</f>
        <v>139.77364999999998</v>
      </c>
    </row>
    <row r="41" spans="1:7" ht="16.5" customHeight="1">
      <c r="A41" s="62"/>
      <c r="B41" s="63"/>
      <c r="C41" s="59"/>
      <c r="D41" s="64"/>
      <c r="E41" s="59"/>
      <c r="F41" s="65"/>
    </row>
    <row r="42" spans="1:7" ht="16.5" customHeight="1">
      <c r="A42" s="59"/>
      <c r="B42" s="66" t="s">
        <v>25</v>
      </c>
      <c r="C42" s="66"/>
      <c r="D42" s="67" t="s">
        <v>26</v>
      </c>
      <c r="E42" s="68"/>
      <c r="F42" s="67" t="s">
        <v>27</v>
      </c>
    </row>
    <row r="43" spans="1:7" ht="34.5" customHeight="1">
      <c r="A43" s="69" t="s">
        <v>28</v>
      </c>
      <c r="B43" s="272" t="s">
        <v>110</v>
      </c>
      <c r="C43" s="70"/>
      <c r="D43" s="272" t="s">
        <v>111</v>
      </c>
      <c r="E43" s="60"/>
      <c r="F43" s="71"/>
    </row>
    <row r="44" spans="1:7" ht="34.5" customHeight="1">
      <c r="A44" s="69" t="s">
        <v>29</v>
      </c>
      <c r="B44" s="72"/>
      <c r="C44" s="73"/>
      <c r="D44" s="72"/>
      <c r="E44" s="60"/>
      <c r="F44" s="74"/>
    </row>
  </sheetData>
  <sheetProtection formatCells="0" formatColumns="0" formatRows="0" insertColumns="0" insertRows="0" insertHyperlinks="0" deleteColumns="0" deleteRows="0" sort="0" autoFilter="0" pivotTables="0"/>
  <mergeCells count="12">
    <mergeCell ref="B39:B40"/>
    <mergeCell ref="A2:F2"/>
    <mergeCell ref="A1:F1"/>
    <mergeCell ref="A12:B12"/>
    <mergeCell ref="D12:E12"/>
    <mergeCell ref="A4:B4"/>
    <mergeCell ref="A5:B5"/>
    <mergeCell ref="A6:B6"/>
    <mergeCell ref="A7:B7"/>
    <mergeCell ref="A8:B8"/>
    <mergeCell ref="A9:B9"/>
    <mergeCell ref="A11:B11"/>
  </mergeCells>
  <conditionalFormatting sqref="D14">
    <cfRule type="cellIs" dxfId="25" priority="1" operator="notBetween">
      <formula>IF(C36&lt;=80,-10.5%,IF(C36&lt;250,-7.5%,-5.5%))</formula>
      <formula>IF(C36&lt;=80,10.5%, IF(C36&lt;250,7.5%, C36*5.5%))</formula>
    </cfRule>
  </conditionalFormatting>
  <conditionalFormatting sqref="D15">
    <cfRule type="cellIs" dxfId="24" priority="2" operator="notBetween">
      <formula>IF(C36&lt;=80,-10.5%,IF(C36&lt;250,-7.5%,-5.5%))</formula>
      <formula>IF(C36&lt;=80,10.5%, IF(C36&lt;250,7.5%, C36*5.5%))</formula>
    </cfRule>
  </conditionalFormatting>
  <conditionalFormatting sqref="D16">
    <cfRule type="cellIs" dxfId="23" priority="3" operator="notBetween">
      <formula>IF(C36&lt;=80,-10.5%,IF(C36&lt;250,-7.5%,-5.5%))</formula>
      <formula>IF(C36&lt;=80,10.5%, IF(C36&lt;250,7.5%, C36*5.5%))</formula>
    </cfRule>
  </conditionalFormatting>
  <conditionalFormatting sqref="D17">
    <cfRule type="cellIs" dxfId="22" priority="4" operator="notBetween">
      <formula>IF(C36&lt;=80,-10.5%,IF(C36&lt;250,-7.5%,-5.5%))</formula>
      <formula>IF(C36&lt;=80,10.5%, IF(C36&lt;250,7.5%, C36*5.5%))</formula>
    </cfRule>
  </conditionalFormatting>
  <conditionalFormatting sqref="D18">
    <cfRule type="cellIs" dxfId="21" priority="5" operator="notBetween">
      <formula>IF(C36&lt;=80,-10.5%,IF(C36&lt;250,-7.5%,-5.5%))</formula>
      <formula>IF(C36&lt;=80,10.5%, IF(C36&lt;250,7.5%, C36*5.5%))</formula>
    </cfRule>
  </conditionalFormatting>
  <conditionalFormatting sqref="D19">
    <cfRule type="cellIs" dxfId="20" priority="6" operator="notBetween">
      <formula>IF(C36&lt;=80,-10.5%,IF(C36&lt;250,-7.5%,-5.5%))</formula>
      <formula>IF(C36&lt;=80,10.5%, IF(C36&lt;250,7.5%, C36*5.5%))</formula>
    </cfRule>
  </conditionalFormatting>
  <conditionalFormatting sqref="D20">
    <cfRule type="cellIs" dxfId="19" priority="7" operator="notBetween">
      <formula>IF(C36&lt;=80,-10.5%,IF(C36&lt;250,-7.5%,-5.5%))</formula>
      <formula>IF(C36&lt;=80,10.5%, IF(C36&lt;250,7.5%, C36*5.5%))</formula>
    </cfRule>
  </conditionalFormatting>
  <conditionalFormatting sqref="D21">
    <cfRule type="cellIs" dxfId="18" priority="8" operator="notBetween">
      <formula>IF(C36&lt;=80,-10.5%,IF(C36&lt;250,-7.5%,-5.5%))</formula>
      <formula>IF(C36&lt;=80,10.5%, IF(C36&lt;250,7.5%, C36*5.5%))</formula>
    </cfRule>
  </conditionalFormatting>
  <conditionalFormatting sqref="D22">
    <cfRule type="cellIs" dxfId="17" priority="9" operator="notBetween">
      <formula>IF(C36&lt;=80,-10.5%,IF(C36&lt;250,-7.5%,-5.5%))</formula>
      <formula>IF(C36&lt;=80,10.5%, IF(C36&lt;250,7.5%, C36*5.5%))</formula>
    </cfRule>
  </conditionalFormatting>
  <conditionalFormatting sqref="D23">
    <cfRule type="cellIs" dxfId="16" priority="10" operator="notBetween">
      <formula>IF(C36&lt;=80,-10.5%,IF(C36&lt;250,-7.5%,-5.5%))</formula>
      <formula>IF(C36&lt;=80,10.5%, IF(C36&lt;250,7.5%, C36*5.5%))</formula>
    </cfRule>
  </conditionalFormatting>
  <conditionalFormatting sqref="D24">
    <cfRule type="cellIs" dxfId="15" priority="11" operator="notBetween">
      <formula>IF(C36&lt;=80,-10.5%,IF(C36&lt;250,-7.5%,-5.5%))</formula>
      <formula>IF(C36&lt;=80,10.5%, IF(C36&lt;250,7.5%, C36*5.5%))</formula>
    </cfRule>
  </conditionalFormatting>
  <conditionalFormatting sqref="D25">
    <cfRule type="cellIs" dxfId="14" priority="12" operator="notBetween">
      <formula>IF(C36&lt;=80,-10.5%,IF(C36&lt;250,-7.5%,-5.5%))</formula>
      <formula>IF(C36&lt;=80,10.5%, IF(C36&lt;250,7.5%, C36*5.5%))</formula>
    </cfRule>
  </conditionalFormatting>
  <conditionalFormatting sqref="D26">
    <cfRule type="cellIs" dxfId="13" priority="13" operator="notBetween">
      <formula>IF(C36&lt;=80,-10.5%,IF(C36&lt;250,-7.5%,-5.5%))</formula>
      <formula>IF(C36&lt;=80,10.5%, IF(C36&lt;250,7.5%, C36*5.5%))</formula>
    </cfRule>
  </conditionalFormatting>
  <conditionalFormatting sqref="D27">
    <cfRule type="cellIs" dxfId="12" priority="14" operator="notBetween">
      <formula>IF(C36&lt;=80,-10.5%,IF(C36&lt;250,-7.5%,-5.5%))</formula>
      <formula>IF(C36&lt;=80,10.5%, IF(C36&lt;250,7.5%, C36*5.5%))</formula>
    </cfRule>
  </conditionalFormatting>
  <conditionalFormatting sqref="D28">
    <cfRule type="cellIs" dxfId="11" priority="15" operator="notBetween">
      <formula>IF(C36&lt;=80,-10.5%,IF(C36&lt;250,-7.5%,-5.5%))</formula>
      <formula>IF(C36&lt;=80,10.5%, IF(C36&lt;250,7.5%, C36*5.5%))</formula>
    </cfRule>
  </conditionalFormatting>
  <conditionalFormatting sqref="D29">
    <cfRule type="cellIs" dxfId="10" priority="16" operator="notBetween">
      <formula>IF(C36&lt;=80,-10.5%,IF(C36&lt;250,-7.5%,-5.5%))</formula>
      <formula>IF(C36&lt;=80,10.5%, IF(C36&lt;250,7.5%, C36*5.5%))</formula>
    </cfRule>
  </conditionalFormatting>
  <conditionalFormatting sqref="D30">
    <cfRule type="cellIs" dxfId="9" priority="17" operator="notBetween">
      <formula>IF(C36&lt;=80,-10.5%,IF(C36&lt;250,-7.5%,-5.5%))</formula>
      <formula>IF(C36&lt;=80,10.5%, IF(C36&lt;250,7.5%, C36*5.5%))</formula>
    </cfRule>
  </conditionalFormatting>
  <conditionalFormatting sqref="D31">
    <cfRule type="cellIs" dxfId="8" priority="18" operator="notBetween">
      <formula>IF(C36&lt;=80,-10.5%,IF(C36&lt;250,-7.5%,-5.5%))</formula>
      <formula>IF(C36&lt;=80,10.5%, IF(C36&lt;250,7.5%, C36*5.5%))</formula>
    </cfRule>
  </conditionalFormatting>
  <conditionalFormatting sqref="D32">
    <cfRule type="cellIs" dxfId="7" priority="19" operator="notBetween">
      <formula>IF(C36&lt;=80,-10.5%,IF(C36&lt;250,-7.5%,-5.5%))</formula>
      <formula>IF(C36&lt;=80,10.5%, IF(C36&lt;250,7.5%, C36*5.5%))</formula>
    </cfRule>
  </conditionalFormatting>
  <conditionalFormatting sqref="D33">
    <cfRule type="cellIs" dxfId="6" priority="20" operator="notBetween">
      <formula>IF(C36&lt;=80,-10.5%,IF(C36&lt;250,-7.5%,-5.5%))</formula>
      <formula>IF(C36&lt;=80,10.5%, IF(C36&lt;250,7.5%, C36*5.5%))</formula>
    </cfRule>
  </conditionalFormatting>
  <conditionalFormatting sqref="D34">
    <cfRule type="cellIs" dxfId="5" priority="21" operator="notBetween">
      <formula>IF(C36&lt;=80,-10.5%,IF(C36&lt;250,-7.5%,-5.5%))</formula>
      <formula>IF(C36&lt;=80,10.5%, IF(C36&lt;250,7.5%, C36*5.5%))</formula>
    </cfRule>
  </conditionalFormatting>
  <pageMargins left="0.75" right="0.75" top="1" bottom="1" header="0.5" footer="0.5"/>
  <pageSetup scale="6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7"/>
  <sheetViews>
    <sheetView view="pageBreakPreview" zoomScale="60" workbookViewId="0">
      <selection activeCell="E22" sqref="E22"/>
    </sheetView>
  </sheetViews>
  <sheetFormatPr defaultRowHeight="13.5"/>
  <cols>
    <col min="1" max="1" width="27.5703125" style="3" customWidth="1"/>
    <col min="2" max="2" width="23.42578125" style="3" customWidth="1"/>
    <col min="3" max="3" width="31.85546875" style="3" customWidth="1"/>
    <col min="4" max="4" width="25.85546875" style="3" customWidth="1"/>
    <col min="5" max="5" width="25.7109375" style="3" customWidth="1"/>
    <col min="6" max="6" width="23.140625" style="3" customWidth="1"/>
    <col min="7" max="7" width="28.42578125" style="3" customWidth="1"/>
    <col min="8" max="8" width="21.5703125" style="3" customWidth="1"/>
    <col min="9" max="9" width="9.140625" style="3" customWidth="1"/>
  </cols>
  <sheetData>
    <row r="1" spans="1:5" ht="18.75" customHeight="1">
      <c r="A1" s="224" t="s">
        <v>0</v>
      </c>
      <c r="B1" s="224"/>
      <c r="C1" s="224"/>
      <c r="D1" s="224"/>
      <c r="E1" s="224"/>
    </row>
    <row r="2" spans="1:5" ht="16.5" customHeight="1">
      <c r="A2" s="4" t="s">
        <v>1</v>
      </c>
      <c r="B2" s="5" t="s">
        <v>2</v>
      </c>
    </row>
    <row r="3" spans="1:5" ht="16.5" customHeight="1">
      <c r="A3" s="6" t="s">
        <v>3</v>
      </c>
      <c r="B3" s="7" t="s">
        <v>5</v>
      </c>
      <c r="D3" s="8"/>
      <c r="E3" s="9"/>
    </row>
    <row r="4" spans="1:5" ht="16.5" customHeight="1">
      <c r="A4" s="10" t="s">
        <v>4</v>
      </c>
      <c r="B4" s="11" t="s">
        <v>9</v>
      </c>
      <c r="C4" s="9"/>
      <c r="D4" s="9"/>
      <c r="E4" s="9"/>
    </row>
    <row r="5" spans="1:5" ht="16.5" customHeight="1">
      <c r="A5" s="10" t="s">
        <v>6</v>
      </c>
      <c r="B5" s="11">
        <v>98.2</v>
      </c>
      <c r="C5" s="9"/>
      <c r="D5" s="9"/>
      <c r="E5" s="9"/>
    </row>
    <row r="6" spans="1:5" ht="16.5" customHeight="1">
      <c r="A6" s="6" t="s">
        <v>8</v>
      </c>
      <c r="B6" s="270">
        <v>17.399999999999999</v>
      </c>
      <c r="C6" s="9"/>
      <c r="D6" s="9"/>
      <c r="E6" s="9"/>
    </row>
    <row r="7" spans="1:5" ht="16.5" customHeight="1">
      <c r="A7" s="6" t="s">
        <v>10</v>
      </c>
      <c r="B7" s="12">
        <f>B6/100</f>
        <v>0.17399999999999999</v>
      </c>
      <c r="C7" s="9"/>
      <c r="D7" s="9"/>
      <c r="E7" s="9"/>
    </row>
    <row r="8" spans="1:5" ht="15.75" customHeight="1">
      <c r="A8" s="9"/>
      <c r="B8" s="9"/>
      <c r="C8" s="9"/>
      <c r="D8" s="9"/>
      <c r="E8" s="9"/>
    </row>
    <row r="9" spans="1:5" ht="16.5" customHeight="1">
      <c r="A9" s="13" t="s">
        <v>12</v>
      </c>
      <c r="B9" s="14" t="s">
        <v>13</v>
      </c>
      <c r="C9" s="13" t="s">
        <v>14</v>
      </c>
      <c r="D9" s="13" t="s">
        <v>15</v>
      </c>
      <c r="E9" s="15" t="s">
        <v>16</v>
      </c>
    </row>
    <row r="10" spans="1:5" ht="16.5" customHeight="1">
      <c r="A10" s="16">
        <v>1</v>
      </c>
      <c r="B10" s="17">
        <v>166524665</v>
      </c>
      <c r="C10" s="17">
        <v>7742.12</v>
      </c>
      <c r="D10" s="18">
        <v>0.99</v>
      </c>
      <c r="E10" s="19">
        <v>6.77</v>
      </c>
    </row>
    <row r="11" spans="1:5" ht="16.5" customHeight="1">
      <c r="A11" s="16">
        <v>2</v>
      </c>
      <c r="B11" s="17">
        <v>166126080</v>
      </c>
      <c r="C11" s="17">
        <v>7744.09</v>
      </c>
      <c r="D11" s="18">
        <v>0.98</v>
      </c>
      <c r="E11" s="18">
        <v>6.77</v>
      </c>
    </row>
    <row r="12" spans="1:5" ht="16.5" customHeight="1">
      <c r="A12" s="16">
        <v>3</v>
      </c>
      <c r="B12" s="17">
        <v>166613431</v>
      </c>
      <c r="C12" s="17">
        <v>7737.15</v>
      </c>
      <c r="D12" s="18">
        <v>1</v>
      </c>
      <c r="E12" s="18">
        <v>6.77</v>
      </c>
    </row>
    <row r="13" spans="1:5" ht="16.5" customHeight="1">
      <c r="A13" s="16">
        <v>4</v>
      </c>
      <c r="B13" s="17">
        <v>166353288</v>
      </c>
      <c r="C13" s="17">
        <v>7736.74</v>
      </c>
      <c r="D13" s="18">
        <v>1</v>
      </c>
      <c r="E13" s="18">
        <v>6.77</v>
      </c>
    </row>
    <row r="14" spans="1:5" ht="16.5" customHeight="1">
      <c r="A14" s="16">
        <v>5</v>
      </c>
      <c r="B14" s="17">
        <v>168820420</v>
      </c>
      <c r="C14" s="17">
        <v>7746.36</v>
      </c>
      <c r="D14" s="18">
        <v>0.99</v>
      </c>
      <c r="E14" s="18">
        <v>6.77</v>
      </c>
    </row>
    <row r="15" spans="1:5" ht="16.5" customHeight="1">
      <c r="A15" s="16">
        <v>6</v>
      </c>
      <c r="B15" s="20">
        <v>167563583</v>
      </c>
      <c r="C15" s="20">
        <v>7733.09</v>
      </c>
      <c r="D15" s="21">
        <v>1</v>
      </c>
      <c r="E15" s="21">
        <v>6.77</v>
      </c>
    </row>
    <row r="16" spans="1:5" ht="16.5" customHeight="1">
      <c r="A16" s="22" t="s">
        <v>17</v>
      </c>
      <c r="B16" s="23">
        <f>AVERAGE(B10:B15)</f>
        <v>167000244.5</v>
      </c>
      <c r="C16" s="24">
        <f>AVERAGE(C10:C15)</f>
        <v>7739.9250000000002</v>
      </c>
      <c r="D16" s="25">
        <f>AVERAGE(D10:D15)</f>
        <v>0.99333333333333329</v>
      </c>
      <c r="E16" s="25">
        <f>AVERAGE(E10:E15)</f>
        <v>6.7699999999999987</v>
      </c>
    </row>
    <row r="17" spans="1:6" ht="16.5" customHeight="1">
      <c r="A17" s="26" t="s">
        <v>18</v>
      </c>
      <c r="B17" s="27">
        <f>(STDEV(B10:B15)/B16)</f>
        <v>6.1000836466503809E-3</v>
      </c>
      <c r="C17" s="28"/>
      <c r="D17" s="28"/>
      <c r="E17" s="29"/>
      <c r="F17" s="2"/>
    </row>
    <row r="18" spans="1:6" s="2" customFormat="1" ht="16.5" customHeight="1">
      <c r="A18" s="30" t="s">
        <v>19</v>
      </c>
      <c r="B18" s="31">
        <f>COUNT(B10:B15)</f>
        <v>6</v>
      </c>
      <c r="C18" s="32"/>
      <c r="D18" s="33"/>
      <c r="E18" s="34"/>
    </row>
    <row r="19" spans="1:6" s="2" customFormat="1" ht="15.75" customHeight="1">
      <c r="A19" s="9"/>
      <c r="B19" s="9"/>
      <c r="C19" s="9"/>
      <c r="D19" s="9"/>
      <c r="E19" s="35"/>
    </row>
    <row r="20" spans="1:6" s="2" customFormat="1" ht="16.5" customHeight="1">
      <c r="A20" s="10" t="s">
        <v>20</v>
      </c>
      <c r="B20" s="36" t="s">
        <v>21</v>
      </c>
      <c r="C20" s="37"/>
      <c r="D20" s="37"/>
      <c r="E20" s="38"/>
    </row>
    <row r="21" spans="1:6" ht="16.5" customHeight="1">
      <c r="A21" s="10"/>
      <c r="B21" s="36" t="s">
        <v>22</v>
      </c>
      <c r="C21" s="37"/>
      <c r="D21" s="37"/>
      <c r="E21" s="38"/>
      <c r="F21" s="2"/>
    </row>
    <row r="22" spans="1:6" ht="16.5" customHeight="1">
      <c r="A22" s="10"/>
      <c r="B22" s="39" t="s">
        <v>23</v>
      </c>
      <c r="C22" s="37"/>
      <c r="D22" s="37"/>
      <c r="E22" s="37"/>
    </row>
    <row r="23" spans="1:6" ht="15.75" customHeight="1">
      <c r="A23" s="9"/>
      <c r="B23" s="9"/>
      <c r="C23" s="9"/>
      <c r="D23" s="9"/>
      <c r="E23" s="9"/>
    </row>
    <row r="24" spans="1:6" ht="16.5" customHeight="1">
      <c r="A24" s="4" t="s">
        <v>1</v>
      </c>
      <c r="B24" s="5" t="s">
        <v>24</v>
      </c>
    </row>
    <row r="25" spans="1:6" ht="16.5" customHeight="1">
      <c r="A25" s="10" t="s">
        <v>4</v>
      </c>
      <c r="B25" s="7"/>
      <c r="C25" s="9"/>
      <c r="D25" s="9"/>
      <c r="E25" s="9"/>
    </row>
    <row r="26" spans="1:6" ht="16.5" customHeight="1">
      <c r="A26" s="10" t="s">
        <v>6</v>
      </c>
      <c r="B26" s="11"/>
      <c r="C26" s="9"/>
      <c r="D26" s="9"/>
      <c r="E26" s="9"/>
    </row>
    <row r="27" spans="1:6" ht="16.5" customHeight="1">
      <c r="A27" s="6" t="s">
        <v>8</v>
      </c>
      <c r="B27" s="11"/>
      <c r="C27" s="9"/>
      <c r="D27" s="9"/>
      <c r="E27" s="9"/>
    </row>
    <row r="28" spans="1:6" ht="16.5" customHeight="1">
      <c r="A28" s="6" t="s">
        <v>10</v>
      </c>
      <c r="B28" s="12"/>
      <c r="C28" s="9"/>
      <c r="D28" s="9"/>
      <c r="E28" s="9"/>
    </row>
    <row r="29" spans="1:6" ht="15.75" customHeight="1">
      <c r="A29" s="9"/>
      <c r="B29" s="9"/>
      <c r="C29" s="9"/>
      <c r="D29" s="9"/>
      <c r="E29" s="9"/>
    </row>
    <row r="30" spans="1:6" ht="16.5" customHeight="1">
      <c r="A30" s="13" t="s">
        <v>12</v>
      </c>
      <c r="B30" s="14" t="s">
        <v>13</v>
      </c>
      <c r="C30" s="13" t="s">
        <v>14</v>
      </c>
      <c r="D30" s="13" t="s">
        <v>15</v>
      </c>
      <c r="E30" s="15" t="s">
        <v>16</v>
      </c>
    </row>
    <row r="31" spans="1:6" ht="16.5" customHeight="1">
      <c r="A31" s="16">
        <v>1</v>
      </c>
      <c r="B31" s="17"/>
      <c r="C31" s="17"/>
      <c r="D31" s="18"/>
      <c r="E31" s="19"/>
    </row>
    <row r="32" spans="1:6" ht="16.5" customHeight="1">
      <c r="A32" s="16">
        <v>2</v>
      </c>
      <c r="B32" s="17"/>
      <c r="C32" s="17"/>
      <c r="D32" s="18"/>
      <c r="E32" s="18"/>
    </row>
    <row r="33" spans="1:7" ht="16.5" customHeight="1">
      <c r="A33" s="16">
        <v>3</v>
      </c>
      <c r="B33" s="17"/>
      <c r="C33" s="17"/>
      <c r="D33" s="18"/>
      <c r="E33" s="18"/>
    </row>
    <row r="34" spans="1:7" ht="16.5" customHeight="1">
      <c r="A34" s="16">
        <v>4</v>
      </c>
      <c r="B34" s="17"/>
      <c r="C34" s="17"/>
      <c r="D34" s="18"/>
      <c r="E34" s="18"/>
    </row>
    <row r="35" spans="1:7" ht="16.5" customHeight="1">
      <c r="A35" s="16">
        <v>5</v>
      </c>
      <c r="B35" s="17"/>
      <c r="C35" s="17"/>
      <c r="D35" s="18"/>
      <c r="E35" s="18"/>
    </row>
    <row r="36" spans="1:7" ht="16.5" customHeight="1">
      <c r="A36" s="16">
        <v>6</v>
      </c>
      <c r="B36" s="20"/>
      <c r="C36" s="20"/>
      <c r="D36" s="21"/>
      <c r="E36" s="21"/>
    </row>
    <row r="37" spans="1:7" ht="16.5" customHeight="1">
      <c r="A37" s="22" t="s">
        <v>17</v>
      </c>
      <c r="B37" s="23" t="e">
        <f>AVERAGE(B31:B36)</f>
        <v>#DIV/0!</v>
      </c>
      <c r="C37" s="24" t="e">
        <f>AVERAGE(C31:C36)</f>
        <v>#DIV/0!</v>
      </c>
      <c r="D37" s="25" t="e">
        <f>AVERAGE(D31:D36)</f>
        <v>#DIV/0!</v>
      </c>
      <c r="E37" s="25" t="e">
        <f>AVERAGE(E31:E36)</f>
        <v>#DIV/0!</v>
      </c>
    </row>
    <row r="38" spans="1:7" ht="16.5" customHeight="1">
      <c r="A38" s="26" t="s">
        <v>18</v>
      </c>
      <c r="B38" s="27" t="e">
        <f>(STDEV(B31:B36)/B37)</f>
        <v>#DIV/0!</v>
      </c>
      <c r="C38" s="28"/>
      <c r="D38" s="28"/>
      <c r="E38" s="29"/>
      <c r="F38" s="2"/>
    </row>
    <row r="39" spans="1:7" s="2" customFormat="1" ht="16.5" customHeight="1">
      <c r="A39" s="30" t="s">
        <v>19</v>
      </c>
      <c r="B39" s="31">
        <f>COUNT(B31:B36)</f>
        <v>0</v>
      </c>
      <c r="C39" s="32"/>
      <c r="D39" s="33"/>
      <c r="E39" s="34"/>
    </row>
    <row r="40" spans="1:7" s="2" customFormat="1" ht="15.75" customHeight="1">
      <c r="A40" s="9"/>
      <c r="B40" s="9"/>
      <c r="C40" s="9"/>
      <c r="D40" s="9"/>
      <c r="E40" s="35"/>
    </row>
    <row r="41" spans="1:7" s="2" customFormat="1" ht="16.5" customHeight="1">
      <c r="A41" s="10" t="s">
        <v>20</v>
      </c>
      <c r="B41" s="36" t="s">
        <v>21</v>
      </c>
      <c r="C41" s="37"/>
      <c r="D41" s="37"/>
      <c r="E41" s="38"/>
    </row>
    <row r="42" spans="1:7" ht="16.5" customHeight="1">
      <c r="A42" s="10"/>
      <c r="B42" s="36" t="s">
        <v>22</v>
      </c>
      <c r="C42" s="37"/>
      <c r="D42" s="37"/>
      <c r="E42" s="38"/>
      <c r="F42" s="2"/>
    </row>
    <row r="43" spans="1:7" ht="16.5" customHeight="1">
      <c r="A43" s="10"/>
      <c r="B43" s="39" t="s">
        <v>23</v>
      </c>
      <c r="C43" s="37"/>
      <c r="D43" s="38"/>
      <c r="E43" s="37"/>
    </row>
    <row r="44" spans="1:7" ht="14.25" customHeight="1">
      <c r="A44" s="40"/>
      <c r="B44" s="41"/>
      <c r="D44" s="42"/>
      <c r="F44" s="43"/>
      <c r="G44" s="43"/>
    </row>
    <row r="45" spans="1:7" ht="15" customHeight="1">
      <c r="B45" s="225" t="s">
        <v>25</v>
      </c>
      <c r="C45" s="225"/>
      <c r="E45" s="44" t="s">
        <v>26</v>
      </c>
      <c r="F45" s="45"/>
      <c r="G45" s="44" t="s">
        <v>27</v>
      </c>
    </row>
    <row r="46" spans="1:7" ht="15" customHeight="1">
      <c r="A46" s="46" t="s">
        <v>28</v>
      </c>
      <c r="B46" s="47"/>
      <c r="C46" s="271" t="s">
        <v>110</v>
      </c>
      <c r="E46" s="271" t="s">
        <v>111</v>
      </c>
      <c r="F46" s="2"/>
      <c r="G46" s="48"/>
    </row>
    <row r="47" spans="1:7" ht="15" customHeight="1">
      <c r="A47" s="46" t="s">
        <v>29</v>
      </c>
      <c r="B47" s="49"/>
      <c r="C47" s="49"/>
      <c r="E47" s="49"/>
      <c r="F47" s="2"/>
      <c r="G47" s="50"/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B45:C45"/>
  </mergeCells>
  <pageMargins left="0.7" right="0.7" top="0.75" bottom="0.75" header="0.3" footer="0.3"/>
  <pageSetup scale="49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06"/>
  <sheetViews>
    <sheetView tabSelected="1" view="pageBreakPreview" zoomScale="40" zoomScaleNormal="60" zoomScaleSheetLayoutView="40" zoomScalePageLayoutView="55" workbookViewId="0">
      <selection activeCell="E79" sqref="E79"/>
    </sheetView>
  </sheetViews>
  <sheetFormatPr defaultColWidth="9.140625" defaultRowHeight="13.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>
      <c r="A1" s="261" t="s">
        <v>44</v>
      </c>
      <c r="B1" s="261"/>
      <c r="C1" s="261"/>
      <c r="D1" s="261"/>
      <c r="E1" s="261"/>
      <c r="F1" s="261"/>
      <c r="G1" s="261"/>
      <c r="H1" s="261"/>
      <c r="I1" s="261"/>
    </row>
    <row r="2" spans="1:9" ht="18.75" customHeight="1">
      <c r="A2" s="261"/>
      <c r="B2" s="261"/>
      <c r="C2" s="261"/>
      <c r="D2" s="261"/>
      <c r="E2" s="261"/>
      <c r="F2" s="261"/>
      <c r="G2" s="261"/>
      <c r="H2" s="261"/>
      <c r="I2" s="261"/>
    </row>
    <row r="3" spans="1:9" ht="18.75" customHeight="1">
      <c r="A3" s="261"/>
      <c r="B3" s="261"/>
      <c r="C3" s="261"/>
      <c r="D3" s="261"/>
      <c r="E3" s="261"/>
      <c r="F3" s="261"/>
      <c r="G3" s="261"/>
      <c r="H3" s="261"/>
      <c r="I3" s="261"/>
    </row>
    <row r="4" spans="1:9" ht="18.75" customHeight="1">
      <c r="A4" s="261"/>
      <c r="B4" s="261"/>
      <c r="C4" s="261"/>
      <c r="D4" s="261"/>
      <c r="E4" s="261"/>
      <c r="F4" s="261"/>
      <c r="G4" s="261"/>
      <c r="H4" s="261"/>
      <c r="I4" s="261"/>
    </row>
    <row r="5" spans="1:9" ht="18.75" customHeight="1">
      <c r="A5" s="261"/>
      <c r="B5" s="261"/>
      <c r="C5" s="261"/>
      <c r="D5" s="261"/>
      <c r="E5" s="261"/>
      <c r="F5" s="261"/>
      <c r="G5" s="261"/>
      <c r="H5" s="261"/>
      <c r="I5" s="261"/>
    </row>
    <row r="6" spans="1:9" ht="18.75" customHeight="1">
      <c r="A6" s="261"/>
      <c r="B6" s="261"/>
      <c r="C6" s="261"/>
      <c r="D6" s="261"/>
      <c r="E6" s="261"/>
      <c r="F6" s="261"/>
      <c r="G6" s="261"/>
      <c r="H6" s="261"/>
      <c r="I6" s="261"/>
    </row>
    <row r="7" spans="1:9" ht="18.75" customHeight="1">
      <c r="A7" s="261"/>
      <c r="B7" s="261"/>
      <c r="C7" s="261"/>
      <c r="D7" s="261"/>
      <c r="E7" s="261"/>
      <c r="F7" s="261"/>
      <c r="G7" s="261"/>
      <c r="H7" s="261"/>
      <c r="I7" s="261"/>
    </row>
    <row r="8" spans="1:9">
      <c r="A8" s="262" t="s">
        <v>45</v>
      </c>
      <c r="B8" s="262"/>
      <c r="C8" s="262"/>
      <c r="D8" s="262"/>
      <c r="E8" s="262"/>
      <c r="F8" s="262"/>
      <c r="G8" s="262"/>
      <c r="H8" s="262"/>
      <c r="I8" s="262"/>
    </row>
    <row r="9" spans="1:9">
      <c r="A9" s="262"/>
      <c r="B9" s="262"/>
      <c r="C9" s="262"/>
      <c r="D9" s="262"/>
      <c r="E9" s="262"/>
      <c r="F9" s="262"/>
      <c r="G9" s="262"/>
      <c r="H9" s="262"/>
      <c r="I9" s="262"/>
    </row>
    <row r="10" spans="1:9">
      <c r="A10" s="262"/>
      <c r="B10" s="262"/>
      <c r="C10" s="262"/>
      <c r="D10" s="262"/>
      <c r="E10" s="262"/>
      <c r="F10" s="262"/>
      <c r="G10" s="262"/>
      <c r="H10" s="262"/>
      <c r="I10" s="262"/>
    </row>
    <row r="11" spans="1:9">
      <c r="A11" s="262"/>
      <c r="B11" s="262"/>
      <c r="C11" s="262"/>
      <c r="D11" s="262"/>
      <c r="E11" s="262"/>
      <c r="F11" s="262"/>
      <c r="G11" s="262"/>
      <c r="H11" s="262"/>
      <c r="I11" s="262"/>
    </row>
    <row r="12" spans="1:9">
      <c r="A12" s="262"/>
      <c r="B12" s="262"/>
      <c r="C12" s="262"/>
      <c r="D12" s="262"/>
      <c r="E12" s="262"/>
      <c r="F12" s="262"/>
      <c r="G12" s="262"/>
      <c r="H12" s="262"/>
      <c r="I12" s="262"/>
    </row>
    <row r="13" spans="1:9">
      <c r="A13" s="262"/>
      <c r="B13" s="262"/>
      <c r="C13" s="262"/>
      <c r="D13" s="262"/>
      <c r="E13" s="262"/>
      <c r="F13" s="262"/>
      <c r="G13" s="262"/>
      <c r="H13" s="262"/>
      <c r="I13" s="262"/>
    </row>
    <row r="14" spans="1:9">
      <c r="A14" s="262"/>
      <c r="B14" s="262"/>
      <c r="C14" s="262"/>
      <c r="D14" s="262"/>
      <c r="E14" s="262"/>
      <c r="F14" s="262"/>
      <c r="G14" s="262"/>
      <c r="H14" s="262"/>
      <c r="I14" s="262"/>
    </row>
    <row r="15" spans="1:9" ht="19.5" customHeight="1">
      <c r="A15" s="96"/>
    </row>
    <row r="16" spans="1:9" ht="19.5" customHeight="1">
      <c r="A16" s="235" t="s">
        <v>30</v>
      </c>
      <c r="B16" s="236"/>
      <c r="C16" s="236"/>
      <c r="D16" s="236"/>
      <c r="E16" s="236"/>
      <c r="F16" s="236"/>
      <c r="G16" s="236"/>
      <c r="H16" s="237"/>
    </row>
    <row r="17" spans="1:14" ht="20.25" customHeight="1">
      <c r="A17" s="238" t="s">
        <v>46</v>
      </c>
      <c r="B17" s="238"/>
      <c r="C17" s="238"/>
      <c r="D17" s="238"/>
      <c r="E17" s="238"/>
      <c r="F17" s="238"/>
      <c r="G17" s="238"/>
      <c r="H17" s="238"/>
    </row>
    <row r="18" spans="1:14" ht="26.25" customHeight="1">
      <c r="A18" s="98" t="s">
        <v>32</v>
      </c>
      <c r="B18" s="234" t="s">
        <v>5</v>
      </c>
      <c r="C18" s="234"/>
      <c r="D18" s="213"/>
      <c r="E18" s="99"/>
      <c r="F18" s="100"/>
      <c r="G18" s="100"/>
      <c r="H18" s="100"/>
    </row>
    <row r="19" spans="1:14" ht="26.25" customHeight="1">
      <c r="A19" s="98" t="s">
        <v>33</v>
      </c>
      <c r="B19" s="101" t="s">
        <v>7</v>
      </c>
      <c r="C19" s="215">
        <v>1</v>
      </c>
      <c r="D19" s="100"/>
      <c r="E19" s="100"/>
      <c r="F19" s="100"/>
      <c r="G19" s="100"/>
      <c r="H19" s="100"/>
    </row>
    <row r="20" spans="1:14" ht="26.25" customHeight="1">
      <c r="A20" s="98" t="s">
        <v>34</v>
      </c>
      <c r="B20" s="239" t="s">
        <v>9</v>
      </c>
      <c r="C20" s="239"/>
      <c r="D20" s="100"/>
      <c r="E20" s="100"/>
      <c r="F20" s="100"/>
      <c r="G20" s="100"/>
      <c r="H20" s="100"/>
    </row>
    <row r="21" spans="1:14" ht="26.25" customHeight="1">
      <c r="A21" s="98" t="s">
        <v>35</v>
      </c>
      <c r="B21" s="239" t="s">
        <v>11</v>
      </c>
      <c r="C21" s="239"/>
      <c r="D21" s="239"/>
      <c r="E21" s="239"/>
      <c r="F21" s="239"/>
      <c r="G21" s="239"/>
      <c r="H21" s="239"/>
      <c r="I21" s="102"/>
    </row>
    <row r="22" spans="1:14" ht="26.25" customHeight="1">
      <c r="A22" s="98" t="s">
        <v>36</v>
      </c>
      <c r="B22" s="103">
        <v>42510</v>
      </c>
      <c r="C22" s="100"/>
      <c r="D22" s="100"/>
      <c r="E22" s="100"/>
      <c r="F22" s="100"/>
      <c r="G22" s="100"/>
      <c r="H22" s="100"/>
    </row>
    <row r="23" spans="1:14" ht="26.25" customHeight="1">
      <c r="A23" s="98" t="s">
        <v>37</v>
      </c>
      <c r="B23" s="103">
        <v>42517</v>
      </c>
      <c r="C23" s="100"/>
      <c r="D23" s="100"/>
      <c r="E23" s="100"/>
      <c r="F23" s="100"/>
      <c r="G23" s="100"/>
      <c r="H23" s="100"/>
    </row>
    <row r="24" spans="1:14" ht="18.75">
      <c r="A24" s="98"/>
      <c r="B24" s="104"/>
    </row>
    <row r="25" spans="1:14" ht="18.75">
      <c r="A25" s="105" t="s">
        <v>1</v>
      </c>
      <c r="B25" s="104"/>
    </row>
    <row r="26" spans="1:14" ht="26.25" customHeight="1">
      <c r="A26" s="106" t="s">
        <v>4</v>
      </c>
      <c r="B26" s="234" t="s">
        <v>108</v>
      </c>
      <c r="C26" s="234"/>
    </row>
    <row r="27" spans="1:14" ht="26.25" customHeight="1">
      <c r="A27" s="107" t="s">
        <v>47</v>
      </c>
      <c r="B27" s="240" t="s">
        <v>109</v>
      </c>
      <c r="C27" s="240"/>
    </row>
    <row r="28" spans="1:14" ht="27" customHeight="1">
      <c r="A28" s="107" t="s">
        <v>6</v>
      </c>
      <c r="B28" s="108">
        <v>98.2</v>
      </c>
    </row>
    <row r="29" spans="1:14" s="13" customFormat="1" ht="27" customHeight="1">
      <c r="A29" s="107" t="s">
        <v>48</v>
      </c>
      <c r="B29" s="109">
        <v>0</v>
      </c>
      <c r="C29" s="241" t="s">
        <v>49</v>
      </c>
      <c r="D29" s="242"/>
      <c r="E29" s="242"/>
      <c r="F29" s="242"/>
      <c r="G29" s="243"/>
      <c r="I29" s="110"/>
      <c r="J29" s="110"/>
      <c r="K29" s="110"/>
      <c r="L29" s="110"/>
    </row>
    <row r="30" spans="1:14" s="13" customFormat="1" ht="19.5" customHeight="1">
      <c r="A30" s="107" t="s">
        <v>50</v>
      </c>
      <c r="B30" s="111">
        <f>B28-B29</f>
        <v>98.2</v>
      </c>
      <c r="C30" s="112"/>
      <c r="D30" s="112"/>
      <c r="E30" s="112"/>
      <c r="F30" s="112"/>
      <c r="G30" s="113"/>
      <c r="I30" s="110"/>
      <c r="J30" s="110"/>
      <c r="K30" s="110"/>
      <c r="L30" s="110"/>
    </row>
    <row r="31" spans="1:14" s="13" customFormat="1" ht="27" customHeight="1">
      <c r="A31" s="107" t="s">
        <v>51</v>
      </c>
      <c r="B31" s="222">
        <v>586.17999999999995</v>
      </c>
      <c r="C31" s="244" t="s">
        <v>52</v>
      </c>
      <c r="D31" s="245"/>
      <c r="E31" s="245"/>
      <c r="F31" s="245"/>
      <c r="G31" s="245"/>
      <c r="H31" s="246"/>
      <c r="I31" s="110"/>
      <c r="J31" s="110"/>
      <c r="K31" s="110"/>
      <c r="L31" s="110"/>
    </row>
    <row r="32" spans="1:14" s="13" customFormat="1" ht="27" customHeight="1">
      <c r="A32" s="107" t="s">
        <v>53</v>
      </c>
      <c r="B32" s="222">
        <v>608.16999999999996</v>
      </c>
      <c r="C32" s="244" t="s">
        <v>54</v>
      </c>
      <c r="D32" s="245"/>
      <c r="E32" s="245"/>
      <c r="F32" s="245"/>
      <c r="G32" s="245"/>
      <c r="H32" s="246"/>
      <c r="I32" s="110"/>
      <c r="J32" s="110"/>
      <c r="K32" s="110"/>
      <c r="L32" s="114"/>
      <c r="M32" s="114"/>
      <c r="N32" s="115"/>
    </row>
    <row r="33" spans="1:14" s="13" customFormat="1" ht="17.25" customHeight="1">
      <c r="A33" s="107"/>
      <c r="B33" s="116"/>
      <c r="C33" s="117"/>
      <c r="D33" s="117"/>
      <c r="E33" s="117"/>
      <c r="F33" s="117"/>
      <c r="G33" s="117"/>
      <c r="H33" s="117"/>
      <c r="I33" s="110"/>
      <c r="J33" s="110"/>
      <c r="K33" s="110"/>
      <c r="L33" s="114"/>
      <c r="M33" s="114"/>
      <c r="N33" s="115"/>
    </row>
    <row r="34" spans="1:14" s="13" customFormat="1" ht="18.75">
      <c r="A34" s="107" t="s">
        <v>55</v>
      </c>
      <c r="B34" s="118">
        <f>B31/B32</f>
        <v>0.96384234671226798</v>
      </c>
      <c r="C34" s="97" t="s">
        <v>56</v>
      </c>
      <c r="D34" s="97"/>
      <c r="E34" s="97"/>
      <c r="F34" s="97"/>
      <c r="G34" s="97"/>
      <c r="I34" s="110"/>
      <c r="J34" s="110"/>
      <c r="K34" s="110"/>
      <c r="L34" s="114"/>
      <c r="M34" s="114"/>
      <c r="N34" s="115"/>
    </row>
    <row r="35" spans="1:14" s="13" customFormat="1" ht="19.5" customHeight="1">
      <c r="A35" s="107"/>
      <c r="B35" s="111"/>
      <c r="G35" s="97"/>
      <c r="I35" s="110"/>
      <c r="J35" s="110"/>
      <c r="K35" s="110"/>
      <c r="L35" s="114"/>
      <c r="M35" s="114"/>
      <c r="N35" s="115"/>
    </row>
    <row r="36" spans="1:14" s="13" customFormat="1" ht="27" customHeight="1">
      <c r="A36" s="119" t="s">
        <v>57</v>
      </c>
      <c r="B36" s="120">
        <v>100</v>
      </c>
      <c r="C36" s="97"/>
      <c r="D36" s="247" t="s">
        <v>58</v>
      </c>
      <c r="E36" s="248"/>
      <c r="F36" s="247" t="s">
        <v>59</v>
      </c>
      <c r="G36" s="249"/>
      <c r="J36" s="110"/>
      <c r="K36" s="110"/>
      <c r="L36" s="114"/>
      <c r="M36" s="114"/>
      <c r="N36" s="115"/>
    </row>
    <row r="37" spans="1:14" s="13" customFormat="1" ht="27" customHeight="1">
      <c r="A37" s="121" t="s">
        <v>60</v>
      </c>
      <c r="B37" s="122">
        <v>1</v>
      </c>
      <c r="C37" s="123" t="s">
        <v>61</v>
      </c>
      <c r="D37" s="124" t="s">
        <v>62</v>
      </c>
      <c r="E37" s="125" t="s">
        <v>63</v>
      </c>
      <c r="F37" s="124" t="s">
        <v>62</v>
      </c>
      <c r="G37" s="126" t="s">
        <v>63</v>
      </c>
      <c r="I37" s="127" t="s">
        <v>64</v>
      </c>
      <c r="J37" s="110"/>
      <c r="K37" s="110"/>
      <c r="L37" s="114"/>
      <c r="M37" s="114"/>
      <c r="N37" s="115"/>
    </row>
    <row r="38" spans="1:14" s="13" customFormat="1" ht="26.25" customHeight="1">
      <c r="A38" s="121" t="s">
        <v>65</v>
      </c>
      <c r="B38" s="122">
        <v>1</v>
      </c>
      <c r="C38" s="128">
        <v>1</v>
      </c>
      <c r="D38" s="129">
        <v>165697071</v>
      </c>
      <c r="E38" s="130">
        <f>IF(ISBLANK(D38),"-",$D$48/$D$45*D38)</f>
        <v>100611608.5001885</v>
      </c>
      <c r="F38" s="129">
        <v>163935396</v>
      </c>
      <c r="G38" s="131">
        <f>IF(ISBLANK(F38),"-",$D$48/$F$45*F38)</f>
        <v>101944045.56021306</v>
      </c>
      <c r="I38" s="132"/>
      <c r="J38" s="110"/>
      <c r="K38" s="110"/>
      <c r="L38" s="114"/>
      <c r="M38" s="114"/>
      <c r="N38" s="115"/>
    </row>
    <row r="39" spans="1:14" s="13" customFormat="1" ht="26.25" customHeight="1">
      <c r="A39" s="121" t="s">
        <v>66</v>
      </c>
      <c r="B39" s="122">
        <v>1</v>
      </c>
      <c r="C39" s="133">
        <v>2</v>
      </c>
      <c r="D39" s="134">
        <v>166571238</v>
      </c>
      <c r="E39" s="135">
        <f>IF(ISBLANK(D39),"-",$D$48/$D$45*D39)</f>
        <v>101142404.53319612</v>
      </c>
      <c r="F39" s="134">
        <v>164773487</v>
      </c>
      <c r="G39" s="136">
        <f>IF(ISBLANK(F39),"-",$D$48/$F$45*F39)</f>
        <v>102465216.63840781</v>
      </c>
      <c r="I39" s="250">
        <f>ABS((F43/D43*D42)-F42)/D42</f>
        <v>1.3455953581957022E-2</v>
      </c>
      <c r="J39" s="110"/>
      <c r="K39" s="110"/>
      <c r="L39" s="114"/>
      <c r="M39" s="114"/>
      <c r="N39" s="115"/>
    </row>
    <row r="40" spans="1:14" ht="26.25" customHeight="1">
      <c r="A40" s="121" t="s">
        <v>67</v>
      </c>
      <c r="B40" s="122">
        <v>1</v>
      </c>
      <c r="C40" s="133">
        <v>3</v>
      </c>
      <c r="D40" s="134">
        <v>166486507</v>
      </c>
      <c r="E40" s="135">
        <f>IF(ISBLANK(D40),"-",$D$48/$D$45*D40)</f>
        <v>101090955.69255954</v>
      </c>
      <c r="F40" s="134">
        <v>165004886</v>
      </c>
      <c r="G40" s="136">
        <f>IF(ISBLANK(F40),"-",$D$48/$F$45*F40)</f>
        <v>102609113.26338433</v>
      </c>
      <c r="I40" s="250"/>
      <c r="L40" s="114"/>
      <c r="M40" s="114"/>
      <c r="N40" s="137"/>
    </row>
    <row r="41" spans="1:14" ht="27" customHeight="1">
      <c r="A41" s="121" t="s">
        <v>68</v>
      </c>
      <c r="B41" s="122">
        <v>1</v>
      </c>
      <c r="C41" s="138">
        <v>4</v>
      </c>
      <c r="D41" s="139"/>
      <c r="E41" s="140" t="str">
        <f>IF(ISBLANK(D41),"-",$D$48/$D$45*D41)</f>
        <v>-</v>
      </c>
      <c r="F41" s="139"/>
      <c r="G41" s="141" t="str">
        <f>IF(ISBLANK(F41),"-",$D$48/$F$45*F41)</f>
        <v>-</v>
      </c>
      <c r="I41" s="142"/>
      <c r="L41" s="114"/>
      <c r="M41" s="114"/>
      <c r="N41" s="137"/>
    </row>
    <row r="42" spans="1:14" ht="27" customHeight="1">
      <c r="A42" s="121" t="s">
        <v>69</v>
      </c>
      <c r="B42" s="122">
        <v>1</v>
      </c>
      <c r="C42" s="143" t="s">
        <v>70</v>
      </c>
      <c r="D42" s="144">
        <f>AVERAGE(D38:D41)</f>
        <v>166251605.33333334</v>
      </c>
      <c r="E42" s="145">
        <f>AVERAGE(E38:E41)</f>
        <v>100948322.90864806</v>
      </c>
      <c r="F42" s="144">
        <f>AVERAGE(F38:F41)</f>
        <v>164571256.33333334</v>
      </c>
      <c r="G42" s="146">
        <f>AVERAGE(G38:G41)</f>
        <v>102339458.48733507</v>
      </c>
      <c r="H42" s="147"/>
    </row>
    <row r="43" spans="1:14" ht="26.25" customHeight="1">
      <c r="A43" s="121" t="s">
        <v>71</v>
      </c>
      <c r="B43" s="122">
        <v>1</v>
      </c>
      <c r="C43" s="148" t="s">
        <v>72</v>
      </c>
      <c r="D43" s="223">
        <v>17.399999999999999</v>
      </c>
      <c r="E43" s="137"/>
      <c r="F43" s="223">
        <v>16.989999999999998</v>
      </c>
      <c r="H43" s="147"/>
    </row>
    <row r="44" spans="1:14" ht="26.25" customHeight="1">
      <c r="A44" s="121" t="s">
        <v>73</v>
      </c>
      <c r="B44" s="122">
        <v>1</v>
      </c>
      <c r="C44" s="149" t="s">
        <v>74</v>
      </c>
      <c r="D44" s="150">
        <f>D43*$B$34</f>
        <v>16.770856832793463</v>
      </c>
      <c r="E44" s="151"/>
      <c r="F44" s="150">
        <f>F43*$B$34</f>
        <v>16.375681470641432</v>
      </c>
      <c r="H44" s="147"/>
    </row>
    <row r="45" spans="1:14" ht="19.5" customHeight="1">
      <c r="A45" s="121" t="s">
        <v>75</v>
      </c>
      <c r="B45" s="152">
        <f>(B44/B43)*(B42/B41)*(B40/B39)*(B38/B37)*B36</f>
        <v>100</v>
      </c>
      <c r="C45" s="149" t="s">
        <v>76</v>
      </c>
      <c r="D45" s="153">
        <f>D44*$B$30/100</f>
        <v>16.468981409803181</v>
      </c>
      <c r="E45" s="154"/>
      <c r="F45" s="153">
        <f>F44*$B$30/100</f>
        <v>16.080919204169888</v>
      </c>
      <c r="H45" s="147"/>
    </row>
    <row r="46" spans="1:14" ht="19.5" customHeight="1">
      <c r="A46" s="251" t="s">
        <v>77</v>
      </c>
      <c r="B46" s="252"/>
      <c r="C46" s="149" t="s">
        <v>78</v>
      </c>
      <c r="D46" s="155">
        <f>D45/$B$45</f>
        <v>0.16468981409803182</v>
      </c>
      <c r="E46" s="156"/>
      <c r="F46" s="157">
        <f>F45/$B$45</f>
        <v>0.16080919204169888</v>
      </c>
      <c r="H46" s="147"/>
    </row>
    <row r="47" spans="1:14" ht="27" customHeight="1">
      <c r="A47" s="253"/>
      <c r="B47" s="254"/>
      <c r="C47" s="158" t="s">
        <v>79</v>
      </c>
      <c r="D47" s="159">
        <v>0.1</v>
      </c>
      <c r="E47" s="160"/>
      <c r="F47" s="156"/>
      <c r="H47" s="147"/>
    </row>
    <row r="48" spans="1:14" ht="18.75">
      <c r="C48" s="161" t="s">
        <v>80</v>
      </c>
      <c r="D48" s="153">
        <f>D47*$B$45</f>
        <v>10</v>
      </c>
      <c r="F48" s="162"/>
      <c r="H48" s="147"/>
    </row>
    <row r="49" spans="1:12" ht="19.5" customHeight="1">
      <c r="C49" s="163" t="s">
        <v>81</v>
      </c>
      <c r="D49" s="164">
        <f>D48/B34</f>
        <v>10.375140741751681</v>
      </c>
      <c r="F49" s="162"/>
      <c r="H49" s="147"/>
    </row>
    <row r="50" spans="1:12" ht="18.75">
      <c r="C50" s="119" t="s">
        <v>82</v>
      </c>
      <c r="D50" s="165">
        <f>AVERAGE(E38:E41,G38:G41)</f>
        <v>101643890.69799156</v>
      </c>
      <c r="F50" s="166"/>
      <c r="H50" s="147"/>
    </row>
    <row r="51" spans="1:12" ht="18.75">
      <c r="C51" s="121" t="s">
        <v>83</v>
      </c>
      <c r="D51" s="167">
        <f>STDEV(E38:E41,G38:G41)/D50</f>
        <v>8.0158123404304813E-3</v>
      </c>
      <c r="F51" s="166"/>
      <c r="H51" s="147"/>
    </row>
    <row r="52" spans="1:12" ht="19.5" customHeight="1">
      <c r="C52" s="168" t="s">
        <v>19</v>
      </c>
      <c r="D52" s="169">
        <f>COUNT(E38:E41,G38:G41)</f>
        <v>6</v>
      </c>
      <c r="F52" s="166"/>
    </row>
    <row r="54" spans="1:12" ht="18.75">
      <c r="A54" s="170" t="s">
        <v>1</v>
      </c>
      <c r="B54" s="171" t="s">
        <v>84</v>
      </c>
    </row>
    <row r="55" spans="1:12" ht="18.75">
      <c r="A55" s="97" t="s">
        <v>85</v>
      </c>
      <c r="B55" s="172" t="str">
        <f>B21</f>
        <v>Montalukast sodium PH.EUR equivalent to Montelukast 4mg</v>
      </c>
    </row>
    <row r="56" spans="1:12" ht="26.25" customHeight="1">
      <c r="A56" s="173" t="s">
        <v>86</v>
      </c>
      <c r="B56" s="174">
        <v>4</v>
      </c>
      <c r="C56" s="97" t="str">
        <f>B20</f>
        <v xml:space="preserve">Montalukast Sodium </v>
      </c>
      <c r="H56" s="175"/>
    </row>
    <row r="57" spans="1:12" ht="18.75">
      <c r="A57" s="172" t="s">
        <v>87</v>
      </c>
      <c r="B57" s="214">
        <f>Uniformity!C36</f>
        <v>130.02199999999999</v>
      </c>
      <c r="H57" s="175"/>
    </row>
    <row r="58" spans="1:12" ht="19.5" customHeight="1">
      <c r="H58" s="175"/>
    </row>
    <row r="59" spans="1:12" s="13" customFormat="1" ht="27" customHeight="1">
      <c r="A59" s="119" t="s">
        <v>88</v>
      </c>
      <c r="B59" s="120">
        <v>50</v>
      </c>
      <c r="C59" s="97"/>
      <c r="D59" s="176" t="s">
        <v>89</v>
      </c>
      <c r="E59" s="177" t="s">
        <v>61</v>
      </c>
      <c r="F59" s="177" t="s">
        <v>62</v>
      </c>
      <c r="G59" s="177" t="s">
        <v>90</v>
      </c>
      <c r="H59" s="123" t="s">
        <v>91</v>
      </c>
      <c r="L59" s="110"/>
    </row>
    <row r="60" spans="1:12" s="13" customFormat="1" ht="26.25" customHeight="1">
      <c r="A60" s="121" t="s">
        <v>92</v>
      </c>
      <c r="B60" s="122">
        <v>1</v>
      </c>
      <c r="C60" s="255" t="s">
        <v>93</v>
      </c>
      <c r="D60" s="258">
        <v>133.30000000000001</v>
      </c>
      <c r="E60" s="178">
        <v>1</v>
      </c>
      <c r="F60" s="179">
        <v>78170440</v>
      </c>
      <c r="G60" s="216">
        <f>IF(ISBLANK(F60),"-",(F60/$D$50*$D$47*$B$68)*($B$57/$D$60))</f>
        <v>3.7507487480945056</v>
      </c>
      <c r="H60" s="180">
        <f t="shared" ref="H60:H71" si="0">IF(ISBLANK(F60),"-",G60/$B$56)</f>
        <v>0.93768718702362641</v>
      </c>
      <c r="L60" s="110"/>
    </row>
    <row r="61" spans="1:12" s="13" customFormat="1" ht="26.25" customHeight="1">
      <c r="A61" s="121" t="s">
        <v>94</v>
      </c>
      <c r="B61" s="122">
        <v>1</v>
      </c>
      <c r="C61" s="256"/>
      <c r="D61" s="259"/>
      <c r="E61" s="181">
        <v>2</v>
      </c>
      <c r="F61" s="134">
        <v>78942735</v>
      </c>
      <c r="G61" s="217">
        <f>IF(ISBLANK(F61),"-",(F61/$D$50*$D$47*$B$68)*($B$57/$D$60))</f>
        <v>3.7878047567904995</v>
      </c>
      <c r="H61" s="182">
        <f t="shared" si="0"/>
        <v>0.94695118919762489</v>
      </c>
      <c r="L61" s="110"/>
    </row>
    <row r="62" spans="1:12" s="13" customFormat="1" ht="26.25" customHeight="1">
      <c r="A62" s="121" t="s">
        <v>95</v>
      </c>
      <c r="B62" s="122">
        <v>1</v>
      </c>
      <c r="C62" s="256"/>
      <c r="D62" s="259"/>
      <c r="E62" s="181">
        <v>3</v>
      </c>
      <c r="F62" s="183">
        <v>79099930</v>
      </c>
      <c r="G62" s="217">
        <f>IF(ISBLANK(F62),"-",(F62/$D$50*$D$47*$B$68)*($B$57/$D$60))</f>
        <v>3.7953472363960481</v>
      </c>
      <c r="H62" s="182">
        <f t="shared" si="0"/>
        <v>0.94883680909901202</v>
      </c>
      <c r="L62" s="110"/>
    </row>
    <row r="63" spans="1:12" ht="27" customHeight="1">
      <c r="A63" s="121" t="s">
        <v>96</v>
      </c>
      <c r="B63" s="122">
        <v>1</v>
      </c>
      <c r="C63" s="257"/>
      <c r="D63" s="260"/>
      <c r="E63" s="184">
        <v>4</v>
      </c>
      <c r="F63" s="185"/>
      <c r="G63" s="217" t="str">
        <f>IF(ISBLANK(F63),"-",(F63/$D$50*$D$47*$B$68)*($B$57/$D$60))</f>
        <v>-</v>
      </c>
      <c r="H63" s="182" t="str">
        <f t="shared" si="0"/>
        <v>-</v>
      </c>
    </row>
    <row r="64" spans="1:12" ht="26.25" customHeight="1">
      <c r="A64" s="121" t="s">
        <v>97</v>
      </c>
      <c r="B64" s="122">
        <v>1</v>
      </c>
      <c r="C64" s="255" t="s">
        <v>98</v>
      </c>
      <c r="D64" s="258">
        <v>134.37</v>
      </c>
      <c r="E64" s="178">
        <v>1</v>
      </c>
      <c r="F64" s="179"/>
      <c r="G64" s="218" t="str">
        <f>IF(ISBLANK(F64),"-",(F64/$D$50*$D$47*$B$68)*($B$57/$D$64))</f>
        <v>-</v>
      </c>
      <c r="H64" s="186" t="str">
        <f t="shared" si="0"/>
        <v>-</v>
      </c>
    </row>
    <row r="65" spans="1:8" ht="26.25" customHeight="1">
      <c r="A65" s="121" t="s">
        <v>99</v>
      </c>
      <c r="B65" s="122">
        <v>1</v>
      </c>
      <c r="C65" s="256"/>
      <c r="D65" s="259"/>
      <c r="E65" s="181">
        <v>2</v>
      </c>
      <c r="F65" s="134">
        <v>79023737</v>
      </c>
      <c r="G65" s="219">
        <f>IF(ISBLANK(F65),"-",(F65/$D$50*$D$47*$B$68)*($B$57/$D$64))</f>
        <v>3.7614978002945079</v>
      </c>
      <c r="H65" s="187">
        <f t="shared" si="0"/>
        <v>0.94037445007362697</v>
      </c>
    </row>
    <row r="66" spans="1:8" ht="26.25" customHeight="1">
      <c r="A66" s="121" t="s">
        <v>100</v>
      </c>
      <c r="B66" s="122">
        <v>1</v>
      </c>
      <c r="C66" s="256"/>
      <c r="D66" s="259"/>
      <c r="E66" s="181">
        <v>3</v>
      </c>
      <c r="F66" s="134">
        <v>78742753</v>
      </c>
      <c r="G66" s="219">
        <f>IF(ISBLANK(F66),"-",(F66/$D$50*$D$47*$B$68)*($B$57/$D$64))</f>
        <v>3.7481230759642985</v>
      </c>
      <c r="H66" s="187">
        <f t="shared" si="0"/>
        <v>0.93703076899107463</v>
      </c>
    </row>
    <row r="67" spans="1:8" ht="27" customHeight="1">
      <c r="A67" s="121" t="s">
        <v>101</v>
      </c>
      <c r="B67" s="122">
        <v>1</v>
      </c>
      <c r="C67" s="257"/>
      <c r="D67" s="260"/>
      <c r="E67" s="184">
        <v>4</v>
      </c>
      <c r="F67" s="185"/>
      <c r="G67" s="220" t="str">
        <f>IF(ISBLANK(F67),"-",(F67/$D$50*$D$47*$B$68)*($B$57/$D$64))</f>
        <v>-</v>
      </c>
      <c r="H67" s="188" t="str">
        <f t="shared" si="0"/>
        <v>-</v>
      </c>
    </row>
    <row r="68" spans="1:8" ht="26.25" customHeight="1">
      <c r="A68" s="121" t="s">
        <v>102</v>
      </c>
      <c r="B68" s="189">
        <f>(B67/B66)*(B65/B64)*(B63/B62)*(B61/B60)*B59</f>
        <v>50</v>
      </c>
      <c r="C68" s="255" t="s">
        <v>103</v>
      </c>
      <c r="D68" s="258">
        <v>135.04</v>
      </c>
      <c r="E68" s="178">
        <v>1</v>
      </c>
      <c r="F68" s="179">
        <v>82211003</v>
      </c>
      <c r="G68" s="218">
        <f>IF(ISBLANK(F68),"-",(F68/$D$50*$D$47*$B$68)*($B$57/$D$68))</f>
        <v>3.8937950025530159</v>
      </c>
      <c r="H68" s="182">
        <f t="shared" si="0"/>
        <v>0.97344875063825398</v>
      </c>
    </row>
    <row r="69" spans="1:8" ht="27" customHeight="1">
      <c r="A69" s="168" t="s">
        <v>104</v>
      </c>
      <c r="B69" s="190">
        <f>(D47*B68)/B56*B57</f>
        <v>162.52749999999997</v>
      </c>
      <c r="C69" s="256"/>
      <c r="D69" s="259"/>
      <c r="E69" s="181">
        <v>2</v>
      </c>
      <c r="F69" s="134">
        <v>82462608</v>
      </c>
      <c r="G69" s="219">
        <f>IF(ISBLANK(F69),"-",(F69/$D$50*$D$47*$B$68)*($B$57/$D$68))</f>
        <v>3.9057118781033284</v>
      </c>
      <c r="H69" s="182">
        <f t="shared" si="0"/>
        <v>0.97642796952583211</v>
      </c>
    </row>
    <row r="70" spans="1:8" ht="26.25" customHeight="1">
      <c r="A70" s="266" t="s">
        <v>77</v>
      </c>
      <c r="B70" s="267"/>
      <c r="C70" s="256"/>
      <c r="D70" s="259"/>
      <c r="E70" s="181">
        <v>3</v>
      </c>
      <c r="F70" s="134">
        <v>82814291</v>
      </c>
      <c r="G70" s="219">
        <f>IF(ISBLANK(F70),"-",(F70/$D$50*$D$47*$B$68)*($B$57/$D$68))</f>
        <v>3.9223687908998164</v>
      </c>
      <c r="H70" s="182">
        <f t="shared" si="0"/>
        <v>0.9805921977249541</v>
      </c>
    </row>
    <row r="71" spans="1:8" ht="27" customHeight="1">
      <c r="A71" s="268"/>
      <c r="B71" s="269"/>
      <c r="C71" s="265"/>
      <c r="D71" s="260"/>
      <c r="E71" s="184">
        <v>4</v>
      </c>
      <c r="F71" s="185"/>
      <c r="G71" s="220" t="str">
        <f>IF(ISBLANK(F71),"-",(F71/$D$50*$D$47*$B$68)*($B$57/$D$68))</f>
        <v>-</v>
      </c>
      <c r="H71" s="191" t="str">
        <f t="shared" si="0"/>
        <v>-</v>
      </c>
    </row>
    <row r="72" spans="1:8" ht="26.25" customHeight="1">
      <c r="A72" s="192"/>
      <c r="B72" s="192"/>
      <c r="C72" s="192"/>
      <c r="D72" s="192"/>
      <c r="E72" s="192"/>
      <c r="F72" s="193"/>
      <c r="G72" s="194" t="s">
        <v>70</v>
      </c>
      <c r="H72" s="195">
        <f>AVERAGE(H60:H71)</f>
        <v>0.95516866528425071</v>
      </c>
    </row>
    <row r="73" spans="1:8" ht="26.25" customHeight="1">
      <c r="C73" s="192"/>
      <c r="D73" s="192"/>
      <c r="E73" s="192"/>
      <c r="F73" s="193"/>
      <c r="G73" s="196" t="s">
        <v>83</v>
      </c>
      <c r="H73" s="221">
        <f>STDEV(H60:H71)/H72</f>
        <v>1.93594081742001E-2</v>
      </c>
    </row>
    <row r="74" spans="1:8" ht="27" customHeight="1">
      <c r="A74" s="192"/>
      <c r="B74" s="192"/>
      <c r="C74" s="193"/>
      <c r="D74" s="193"/>
      <c r="E74" s="197"/>
      <c r="F74" s="193"/>
      <c r="G74" s="198" t="s">
        <v>19</v>
      </c>
      <c r="H74" s="199">
        <f>COUNT(H60:H71)</f>
        <v>8</v>
      </c>
    </row>
    <row r="76" spans="1:8" ht="26.25" customHeight="1">
      <c r="A76" s="106" t="s">
        <v>105</v>
      </c>
      <c r="B76" s="200" t="s">
        <v>106</v>
      </c>
      <c r="C76" s="263" t="str">
        <f>B20</f>
        <v xml:space="preserve">Montalukast Sodium </v>
      </c>
      <c r="D76" s="263"/>
      <c r="E76" s="201" t="s">
        <v>107</v>
      </c>
      <c r="F76" s="201"/>
      <c r="G76" s="202">
        <f>H72</f>
        <v>0.95516866528425071</v>
      </c>
      <c r="H76" s="203"/>
    </row>
    <row r="77" spans="1:8" ht="19.5" customHeight="1">
      <c r="A77" s="205"/>
      <c r="B77" s="205"/>
      <c r="C77" s="206"/>
      <c r="D77" s="206"/>
      <c r="E77" s="206"/>
      <c r="F77" s="206"/>
      <c r="G77" s="206"/>
      <c r="H77" s="206"/>
    </row>
    <row r="78" spans="1:8" ht="18.75">
      <c r="B78" s="264" t="s">
        <v>25</v>
      </c>
      <c r="C78" s="264"/>
      <c r="E78" s="204" t="s">
        <v>26</v>
      </c>
      <c r="F78" s="207"/>
      <c r="G78" s="264" t="s">
        <v>27</v>
      </c>
      <c r="H78" s="264"/>
    </row>
    <row r="79" spans="1:8" ht="69.95" customHeight="1">
      <c r="A79" s="208" t="s">
        <v>28</v>
      </c>
      <c r="B79" s="209"/>
      <c r="C79" s="273" t="s">
        <v>110</v>
      </c>
      <c r="E79" s="273" t="s">
        <v>111</v>
      </c>
      <c r="F79" s="96"/>
      <c r="G79" s="210"/>
      <c r="H79" s="210"/>
    </row>
    <row r="80" spans="1:8" ht="69.95" customHeight="1">
      <c r="A80" s="208" t="s">
        <v>29</v>
      </c>
      <c r="B80" s="211"/>
      <c r="C80" s="211"/>
      <c r="E80" s="211"/>
      <c r="F80" s="96"/>
      <c r="G80" s="212"/>
      <c r="H80" s="212"/>
    </row>
    <row r="81" spans="1:9" ht="18.75">
      <c r="A81" s="192"/>
      <c r="B81" s="192"/>
      <c r="C81" s="193"/>
      <c r="D81" s="193"/>
      <c r="E81" s="193"/>
      <c r="F81" s="197"/>
      <c r="G81" s="193"/>
      <c r="H81" s="193"/>
      <c r="I81" s="96"/>
    </row>
    <row r="82" spans="1:9" ht="18.75">
      <c r="A82" s="192"/>
      <c r="B82" s="192"/>
      <c r="C82" s="193"/>
      <c r="D82" s="193"/>
      <c r="E82" s="193"/>
      <c r="F82" s="197"/>
      <c r="G82" s="193"/>
      <c r="H82" s="193"/>
      <c r="I82" s="96"/>
    </row>
    <row r="83" spans="1:9" ht="18.75">
      <c r="A83" s="192"/>
      <c r="B83" s="192"/>
      <c r="C83" s="193"/>
      <c r="D83" s="193"/>
      <c r="E83" s="193"/>
      <c r="F83" s="197"/>
      <c r="G83" s="193"/>
      <c r="H83" s="193"/>
      <c r="I83" s="96"/>
    </row>
    <row r="84" spans="1:9" ht="18.75">
      <c r="A84" s="192"/>
      <c r="B84" s="192"/>
      <c r="C84" s="193"/>
      <c r="D84" s="193"/>
      <c r="E84" s="193"/>
      <c r="F84" s="197"/>
      <c r="G84" s="193"/>
      <c r="H84" s="193"/>
      <c r="I84" s="96"/>
    </row>
    <row r="85" spans="1:9" ht="18.75">
      <c r="A85" s="192"/>
      <c r="B85" s="192"/>
      <c r="C85" s="193"/>
      <c r="D85" s="193"/>
      <c r="E85" s="193"/>
      <c r="F85" s="197"/>
      <c r="G85" s="193"/>
      <c r="H85" s="193"/>
      <c r="I85" s="96"/>
    </row>
    <row r="86" spans="1:9" ht="18.75">
      <c r="A86" s="192"/>
      <c r="B86" s="192"/>
      <c r="C86" s="193"/>
      <c r="D86" s="193"/>
      <c r="E86" s="193"/>
      <c r="F86" s="197"/>
      <c r="G86" s="193"/>
      <c r="H86" s="193"/>
      <c r="I86" s="96"/>
    </row>
    <row r="87" spans="1:9" ht="18.75">
      <c r="A87" s="192"/>
      <c r="B87" s="192"/>
      <c r="C87" s="193"/>
      <c r="D87" s="193"/>
      <c r="E87" s="193"/>
      <c r="F87" s="197"/>
      <c r="G87" s="193"/>
      <c r="H87" s="193"/>
      <c r="I87" s="96"/>
    </row>
    <row r="88" spans="1:9" ht="18.75">
      <c r="A88" s="192"/>
      <c r="B88" s="192"/>
      <c r="C88" s="193"/>
      <c r="D88" s="193"/>
      <c r="E88" s="193"/>
      <c r="F88" s="197"/>
      <c r="G88" s="193"/>
      <c r="H88" s="193"/>
      <c r="I88" s="96"/>
    </row>
    <row r="89" spans="1:9" ht="18.75">
      <c r="A89" s="192"/>
      <c r="B89" s="192"/>
      <c r="C89" s="193"/>
      <c r="D89" s="193"/>
      <c r="E89" s="193"/>
      <c r="F89" s="197"/>
      <c r="G89" s="193"/>
      <c r="H89" s="193"/>
      <c r="I89" s="96"/>
    </row>
    <row r="206" spans="1:1">
      <c r="A206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26">
    <mergeCell ref="A1:I7"/>
    <mergeCell ref="A8:I14"/>
    <mergeCell ref="B78:C78"/>
    <mergeCell ref="G78:H78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4" priority="1" operator="greaterThan">
      <formula>0.02</formula>
    </cfRule>
  </conditionalFormatting>
  <conditionalFormatting sqref="D51">
    <cfRule type="cellIs" dxfId="3" priority="2" operator="greaterThan">
      <formula>0.02</formula>
    </cfRule>
  </conditionalFormatting>
  <conditionalFormatting sqref="H73">
    <cfRule type="cellIs" dxfId="2" priority="3" operator="greaterThan">
      <formula>0.02</formula>
    </cfRule>
  </conditionalFormatting>
  <conditionalFormatting sqref="I39">
    <cfRule type="cellIs" dxfId="1" priority="5" operator="lessThanOrEqual">
      <formula>0.02</formula>
    </cfRule>
  </conditionalFormatting>
  <conditionalFormatting sqref="I39">
    <cfRule type="cellIs" dxfId="0" priority="6" operator="greaterThan">
      <formula>0.02</formula>
    </cfRule>
  </conditionalFormatting>
  <pageMargins left="0.7" right="0.7" top="0.75" bottom="0.75" header="0.3" footer="0.3"/>
  <pageSetup scale="30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Uniformity</vt:lpstr>
      <vt:lpstr>SST</vt:lpstr>
      <vt:lpstr>Montelukast</vt:lpstr>
      <vt:lpstr>Montelukast!Print_Area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Joyfrida</cp:lastModifiedBy>
  <cp:lastPrinted>2016-05-24T06:51:39Z</cp:lastPrinted>
  <dcterms:created xsi:type="dcterms:W3CDTF">2005-07-05T10:19:27Z</dcterms:created>
  <dcterms:modified xsi:type="dcterms:W3CDTF">2016-05-24T06:52:42Z</dcterms:modified>
</cp:coreProperties>
</file>