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52" windowWidth="15012" windowHeight="7620" activeTab="4"/>
  </bookViews>
  <sheets>
    <sheet name="SST " sheetId="1" r:id="rId1"/>
    <sheet name="Uniformity" sheetId="9" r:id="rId2"/>
    <sheet name="Mutua" sheetId="6" r:id="rId3"/>
    <sheet name="Uniformity (Kefa)" sheetId="11" r:id="rId4"/>
    <sheet name="KEFA" sheetId="10" r:id="rId5"/>
  </sheets>
  <definedNames>
    <definedName name="_xlnm.Print_Area" localSheetId="4">KEFA!$A$1:$K$125</definedName>
    <definedName name="_xlnm.Print_Area" localSheetId="0">'SST '!$A$1:$E$61</definedName>
    <definedName name="_xlnm.Print_Area" localSheetId="1">Uniformity!$A$1:$F$54</definedName>
    <definedName name="_xlnm.Print_Area" localSheetId="3">'Uniformity (Kefa)'!$A$1:$F$54</definedName>
  </definedNames>
  <calcPr calcId="145621"/>
</workbook>
</file>

<file path=xl/calcChain.xml><?xml version="1.0" encoding="utf-8"?>
<calcChain xmlns="http://schemas.openxmlformats.org/spreadsheetml/2006/main">
  <c r="H72" i="10" l="1"/>
  <c r="H73" i="10"/>
  <c r="H62" i="10"/>
  <c r="H64" i="10"/>
  <c r="H65" i="10"/>
  <c r="I65" i="10" s="1"/>
  <c r="H66" i="10"/>
  <c r="I66" i="10" s="1"/>
  <c r="I67" i="10"/>
  <c r="H68" i="10"/>
  <c r="H69" i="10"/>
  <c r="I69" i="10" s="1"/>
  <c r="H70" i="10"/>
  <c r="I71" i="10"/>
  <c r="H61" i="10"/>
  <c r="H60" i="10"/>
  <c r="I60" i="10"/>
  <c r="I63" i="10"/>
  <c r="I68" i="10"/>
  <c r="I70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I61" i="10"/>
  <c r="I62" i="10"/>
  <c r="I64" i="10"/>
  <c r="H71" i="6"/>
  <c r="H70" i="6"/>
  <c r="H69" i="6"/>
  <c r="H68" i="6"/>
  <c r="H67" i="6"/>
  <c r="H66" i="6"/>
  <c r="H65" i="6"/>
  <c r="H64" i="6"/>
  <c r="H63" i="6"/>
  <c r="H62" i="6"/>
  <c r="H74" i="6" s="1"/>
  <c r="H61" i="6"/>
  <c r="H60" i="6"/>
  <c r="F116" i="10"/>
  <c r="F115" i="10"/>
  <c r="D113" i="10"/>
  <c r="D112" i="10"/>
  <c r="F112" i="10"/>
  <c r="D111" i="10"/>
  <c r="D110" i="10"/>
  <c r="D109" i="10"/>
  <c r="E109" i="10" s="1"/>
  <c r="F109" i="10" s="1"/>
  <c r="D108" i="10"/>
  <c r="F91" i="10"/>
  <c r="D92" i="10"/>
  <c r="D95" i="10"/>
  <c r="D91" i="10"/>
  <c r="J74" i="6"/>
  <c r="J72" i="6"/>
  <c r="J73" i="6" s="1"/>
  <c r="I39" i="6"/>
  <c r="F96" i="10"/>
  <c r="D96" i="10"/>
  <c r="B42" i="1"/>
  <c r="C46" i="11"/>
  <c r="D50" i="11" s="1"/>
  <c r="C45" i="11"/>
  <c r="C19" i="11"/>
  <c r="C120" i="10"/>
  <c r="B116" i="10"/>
  <c r="D100" i="10" s="1"/>
  <c r="E113" i="10"/>
  <c r="F113" i="10" s="1"/>
  <c r="E112" i="10"/>
  <c r="E111" i="10"/>
  <c r="F111" i="10" s="1"/>
  <c r="B98" i="10"/>
  <c r="G94" i="10"/>
  <c r="E94" i="10"/>
  <c r="G93" i="10"/>
  <c r="E93" i="10"/>
  <c r="G92" i="10"/>
  <c r="B87" i="10"/>
  <c r="F97" i="10" s="1"/>
  <c r="B81" i="10"/>
  <c r="B83" i="10" s="1"/>
  <c r="B80" i="10"/>
  <c r="B79" i="10"/>
  <c r="C76" i="10"/>
  <c r="G71" i="10"/>
  <c r="B68" i="10"/>
  <c r="G67" i="10"/>
  <c r="G63" i="10"/>
  <c r="C56" i="10"/>
  <c r="B55" i="10"/>
  <c r="B45" i="10"/>
  <c r="D48" i="10" s="1"/>
  <c r="D44" i="10"/>
  <c r="D45" i="10" s="1"/>
  <c r="D46" i="10" s="1"/>
  <c r="F42" i="10"/>
  <c r="D42" i="10"/>
  <c r="G41" i="10"/>
  <c r="E41" i="10"/>
  <c r="B34" i="10"/>
  <c r="F44" i="10" s="1"/>
  <c r="F45" i="10" s="1"/>
  <c r="B30" i="10"/>
  <c r="B39" i="1"/>
  <c r="C46" i="9"/>
  <c r="C50" i="9" s="1"/>
  <c r="C45" i="9"/>
  <c r="C19" i="9"/>
  <c r="J74" i="10" l="1"/>
  <c r="J72" i="10"/>
  <c r="J73" i="10" s="1"/>
  <c r="I72" i="10"/>
  <c r="I73" i="10" s="1"/>
  <c r="I74" i="10"/>
  <c r="H72" i="6"/>
  <c r="H73" i="6" s="1"/>
  <c r="E110" i="10"/>
  <c r="F110" i="10" s="1"/>
  <c r="F95" i="10"/>
  <c r="I92" i="10" s="1"/>
  <c r="D101" i="10"/>
  <c r="B57" i="10"/>
  <c r="B69" i="10" s="1"/>
  <c r="B57" i="6"/>
  <c r="D38" i="11"/>
  <c r="B49" i="11"/>
  <c r="D31" i="11"/>
  <c r="D39" i="11"/>
  <c r="C49" i="11"/>
  <c r="D43" i="11"/>
  <c r="D29" i="11"/>
  <c r="D49" i="11"/>
  <c r="D24" i="11"/>
  <c r="D40" i="11"/>
  <c r="D25" i="11"/>
  <c r="D33" i="11"/>
  <c r="D41" i="11"/>
  <c r="C50" i="11"/>
  <c r="D27" i="11"/>
  <c r="D35" i="11"/>
  <c r="D28" i="11"/>
  <c r="D36" i="11"/>
  <c r="D37" i="11"/>
  <c r="D30" i="11"/>
  <c r="D32" i="11"/>
  <c r="D26" i="11"/>
  <c r="D34" i="11"/>
  <c r="D42" i="11"/>
  <c r="I39" i="10"/>
  <c r="F46" i="10"/>
  <c r="F98" i="10"/>
  <c r="F99" i="10" s="1"/>
  <c r="G38" i="10"/>
  <c r="E39" i="10"/>
  <c r="E38" i="10"/>
  <c r="E40" i="10"/>
  <c r="G40" i="10"/>
  <c r="D49" i="10"/>
  <c r="G39" i="10"/>
  <c r="D97" i="10"/>
  <c r="D98" i="10" s="1"/>
  <c r="D99" i="10" s="1"/>
  <c r="D30" i="9"/>
  <c r="D38" i="9"/>
  <c r="B49" i="9"/>
  <c r="D31" i="9"/>
  <c r="C49" i="9"/>
  <c r="D26" i="9"/>
  <c r="D34" i="9"/>
  <c r="D42" i="9"/>
  <c r="D50" i="9"/>
  <c r="D27" i="9"/>
  <c r="D35" i="9"/>
  <c r="D43" i="9"/>
  <c r="D28" i="9"/>
  <c r="D36" i="9"/>
  <c r="D29" i="9"/>
  <c r="D37" i="9"/>
  <c r="D39" i="9"/>
  <c r="D24" i="9"/>
  <c r="D32" i="9"/>
  <c r="D40" i="9"/>
  <c r="D49" i="9"/>
  <c r="D25" i="9"/>
  <c r="D33" i="9"/>
  <c r="D41" i="9"/>
  <c r="K72" i="10" l="1"/>
  <c r="K73" i="10" s="1"/>
  <c r="K74" i="10"/>
  <c r="D102" i="10"/>
  <c r="G91" i="10"/>
  <c r="G95" i="10" s="1"/>
  <c r="E92" i="10"/>
  <c r="E91" i="10"/>
  <c r="G42" i="10"/>
  <c r="D52" i="10"/>
  <c r="D50" i="10"/>
  <c r="E42" i="10"/>
  <c r="D105" i="10" l="1"/>
  <c r="E95" i="10"/>
  <c r="D103" i="10"/>
  <c r="D51" i="10"/>
  <c r="G69" i="10"/>
  <c r="G66" i="10"/>
  <c r="G62" i="10"/>
  <c r="G65" i="10"/>
  <c r="G61" i="10"/>
  <c r="G68" i="10"/>
  <c r="G70" i="10"/>
  <c r="G64" i="10"/>
  <c r="G60" i="10"/>
  <c r="E108" i="10" l="1"/>
  <c r="D104" i="10"/>
  <c r="G72" i="10"/>
  <c r="G73" i="10" s="1"/>
  <c r="F108" i="10" l="1"/>
  <c r="E117" i="10"/>
  <c r="E115" i="10"/>
  <c r="E116" i="10" s="1"/>
  <c r="F117" i="10" l="1"/>
  <c r="G76" i="10"/>
  <c r="G120" i="10" l="1"/>
  <c r="G38" i="6" l="1"/>
  <c r="E38" i="6"/>
  <c r="C56" i="6" l="1"/>
  <c r="E30" i="1" l="1"/>
  <c r="E51" i="1" l="1"/>
  <c r="B20" i="1" l="1"/>
  <c r="B21" i="1" s="1"/>
  <c r="C120" i="6"/>
  <c r="B116" i="6"/>
  <c r="D100" i="6" s="1"/>
  <c r="B98" i="6"/>
  <c r="F95" i="6"/>
  <c r="D95" i="6"/>
  <c r="B87" i="6"/>
  <c r="F97" i="6" s="1"/>
  <c r="B81" i="6"/>
  <c r="B80" i="6"/>
  <c r="B79" i="6"/>
  <c r="C76" i="6"/>
  <c r="B68" i="6"/>
  <c r="B69" i="6" s="1"/>
  <c r="B55" i="6"/>
  <c r="B45" i="6"/>
  <c r="D48" i="6" s="1"/>
  <c r="F42" i="6"/>
  <c r="D42" i="6"/>
  <c r="B34" i="6"/>
  <c r="D44" i="6" s="1"/>
  <c r="B30" i="6"/>
  <c r="B53" i="1"/>
  <c r="D51" i="1"/>
  <c r="C51" i="1"/>
  <c r="B51" i="1"/>
  <c r="B52" i="1" s="1"/>
  <c r="B32" i="1"/>
  <c r="D30" i="1"/>
  <c r="C30" i="1"/>
  <c r="B30" i="1"/>
  <c r="B31" i="1" s="1"/>
  <c r="B83" i="6" l="1"/>
  <c r="F98" i="6" s="1"/>
  <c r="B40" i="1"/>
  <c r="I92" i="6"/>
  <c r="D101" i="6"/>
  <c r="D102" i="6" s="1"/>
  <c r="F44" i="6"/>
  <c r="F45" i="6" s="1"/>
  <c r="D49" i="6"/>
  <c r="D45" i="6"/>
  <c r="D46" i="6" s="1"/>
  <c r="D97" i="6"/>
  <c r="G92" i="6" l="1"/>
  <c r="F99" i="6"/>
  <c r="G91" i="6"/>
  <c r="D98" i="6"/>
  <c r="D99" i="6" s="1"/>
  <c r="G94" i="6"/>
  <c r="G93" i="6"/>
  <c r="E40" i="6"/>
  <c r="E39" i="6"/>
  <c r="E41" i="6"/>
  <c r="G41" i="6"/>
  <c r="G40" i="6"/>
  <c r="G39" i="6"/>
  <c r="F46" i="6"/>
  <c r="E94" i="6"/>
  <c r="E93" i="6"/>
  <c r="G42" i="6" l="1"/>
  <c r="E42" i="6"/>
  <c r="D50" i="6"/>
  <c r="G66" i="6" s="1"/>
  <c r="I66" i="6" s="1"/>
  <c r="E92" i="6"/>
  <c r="E91" i="6"/>
  <c r="G95" i="6"/>
  <c r="D52" i="6"/>
  <c r="E95" i="6" l="1"/>
  <c r="D105" i="6"/>
  <c r="D103" i="6"/>
  <c r="G105" i="6" s="1"/>
  <c r="G62" i="6"/>
  <c r="I62" i="6" s="1"/>
  <c r="G60" i="6"/>
  <c r="I60" i="6" s="1"/>
  <c r="G61" i="6"/>
  <c r="I61" i="6" s="1"/>
  <c r="G67" i="6"/>
  <c r="I67" i="6" s="1"/>
  <c r="G70" i="6"/>
  <c r="I70" i="6" s="1"/>
  <c r="G71" i="6"/>
  <c r="I71" i="6" s="1"/>
  <c r="G65" i="6"/>
  <c r="I65" i="6" s="1"/>
  <c r="G69" i="6"/>
  <c r="I69" i="6" s="1"/>
  <c r="G64" i="6"/>
  <c r="I64" i="6" s="1"/>
  <c r="G68" i="6"/>
  <c r="I68" i="6" s="1"/>
  <c r="G63" i="6"/>
  <c r="I63" i="6" s="1"/>
  <c r="D51" i="6"/>
  <c r="E112" i="6"/>
  <c r="F112" i="6" s="1"/>
  <c r="E110" i="6"/>
  <c r="F110" i="6" s="1"/>
  <c r="E108" i="6"/>
  <c r="E113" i="6"/>
  <c r="F113" i="6" s="1"/>
  <c r="E111" i="6"/>
  <c r="F111" i="6" s="1"/>
  <c r="E109" i="6"/>
  <c r="F109" i="6" s="1"/>
  <c r="D104" i="6"/>
  <c r="I72" i="6" l="1"/>
  <c r="G72" i="6"/>
  <c r="G73" i="6" s="1"/>
  <c r="G74" i="6"/>
  <c r="E115" i="6"/>
  <c r="E116" i="6" s="1"/>
  <c r="E117" i="6"/>
  <c r="F108" i="6"/>
  <c r="I74" i="6"/>
  <c r="F117" i="6" l="1"/>
  <c r="F115" i="6"/>
  <c r="G76" i="6"/>
  <c r="I73" i="6"/>
  <c r="G120" i="6" l="1"/>
  <c r="F116" i="6"/>
</calcChain>
</file>

<file path=xl/sharedStrings.xml><?xml version="1.0" encoding="utf-8"?>
<sst xmlns="http://schemas.openxmlformats.org/spreadsheetml/2006/main" count="429" uniqueCount="139">
  <si>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</si>
  <si>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</si>
  <si>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</si>
  <si>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</si>
  <si>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</si>
  <si>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</si>
  <si>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</si>
  <si>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</si>
  <si>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</si>
  <si>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</si>
  <si>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</si>
  <si>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</si>
  <si>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</si>
  <si>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</si>
  <si>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</si>
  <si>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</si>
  <si>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</si>
  <si>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</si>
  <si>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</si>
  <si>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</si>
  <si>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</si>
  <si>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</si>
  <si>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</si>
  <si>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</si>
  <si>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</si>
  <si>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</si>
  <si>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</si>
  <si>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</si>
  <si>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</si>
  <si>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</si>
  <si>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</si>
  <si>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</si>
  <si>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</si>
  <si>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</si>
  <si>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</si>
  <si>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</si>
  <si>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</si>
  <si>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</si>
  <si>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</si>
  <si>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</si>
  <si>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</si>
  <si>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</si>
  <si>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</si>
  <si>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</si>
  <si>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</si>
  <si>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</si>
  <si>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</si>
  <si>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</si>
  <si>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</si>
  <si>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</si>
  <si>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</si>
  <si>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</si>
  <si>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</si>
  <si>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</si>
  <si>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</si>
  <si>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</si>
  <si>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</si>
  <si>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</si>
  <si>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</si>
  <si>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</si>
  <si>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</si>
  <si>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</si>
  <si>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</si>
  <si>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</si>
  <si>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</si>
  <si>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</si>
  <si>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</si>
  <si>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</si>
  <si>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</si>
  <si>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</si>
  <si>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</si>
  <si>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</si>
  <si>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</si>
  <si>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</si>
  <si>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</si>
  <si>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</si>
  <si>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</si>
  <si>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</si>
  <si>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</si>
  <si>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</si>
  <si>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</si>
  <si>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</si>
  <si>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</si>
  <si>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</si>
  <si>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</si>
  <si>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</si>
  <si>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</si>
  <si>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</si>
  <si>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</si>
  <si>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</si>
  <si>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</si>
  <si>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</si>
  <si>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</si>
  <si>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</si>
  <si>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</si>
  <si>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</si>
  <si>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</si>
  <si>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</si>
  <si>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</si>
  <si>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</si>
  <si>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</si>
  <si>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</si>
  <si>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</si>
  <si>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</si>
  <si>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</si>
  <si>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</si>
  <si>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</si>
  <si>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</si>
  <si>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</si>
  <si>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</si>
  <si>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</si>
  <si>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</si>
  <si>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</si>
  <si>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National Quality Control Laboratory</t>
  </si>
  <si>
    <t>Laboratory Data Calculation Spreadsheet</t>
  </si>
  <si>
    <t>Each Tablet contains</t>
  </si>
  <si>
    <t>Average Tablet Weight (mg):</t>
  </si>
  <si>
    <t>Tablet No.</t>
  </si>
  <si>
    <t>ALBEN TABLETS</t>
  </si>
  <si>
    <t>Albendazole</t>
  </si>
  <si>
    <t>NDQD201506265</t>
  </si>
  <si>
    <t>Each chewable tablet contains Albendazole 200 mg</t>
  </si>
  <si>
    <t>ALBENDAZOLE</t>
  </si>
  <si>
    <t>NQCL/PRS/A16-1</t>
  </si>
  <si>
    <t>LAMIVUDINE 150MG + ZIDOVUDINE 300MG + NEVIRAPINE 200MG TABLETS</t>
  </si>
  <si>
    <t>NDQB201605921</t>
  </si>
  <si>
    <t>Lamivudine     Nevirapine and Zidovudine</t>
  </si>
  <si>
    <t xml:space="preserve">Lamivudine 150mg + Zidovudine 300mg + Nevirapine 200mg </t>
  </si>
  <si>
    <t>2016-05-13 06:47:02</t>
  </si>
  <si>
    <t xml:space="preserve">Determination </t>
  </si>
  <si>
    <t>REPEAT ASSAY (Kefa Bota)</t>
  </si>
  <si>
    <t>Assay (Eric Mutua)</t>
  </si>
  <si>
    <t>ERIC MUTUA &amp; KEFA BOTA</t>
  </si>
  <si>
    <t>Abs @308nm - Abs @350 nm</t>
  </si>
  <si>
    <t>Mutua Assay</t>
  </si>
  <si>
    <t>Kefa Assay</t>
  </si>
  <si>
    <t>-</t>
  </si>
  <si>
    <t>Combined Assays</t>
  </si>
  <si>
    <t>Combined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</si>
</sst>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4" formatCode="0.0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1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5" fillId="2" borderId="0"/>
    <xf numFmtId="9" fontId="26" fillId="0" borderId="0" applyFont="0" applyFill="0" applyBorder="0" applyAlignment="0" applyProtection="0"/>
    <xf numFmtId="0" fontId="27" fillId="2" borderId="0"/>
    <xf numFmtId="0" fontId="25" fillId="2" borderId="0"/>
  </cellStyleXfs>
  <cellXfs count="38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6" fillId="2" borderId="6" xfId="0" applyFont="1" applyFill="1" applyBorder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7" xfId="0" applyFont="1" applyFill="1" applyBorder="1"/>
    <xf numFmtId="0" fontId="2" fillId="2" borderId="0" xfId="0" applyFont="1" applyFill="1" applyAlignment="1">
      <alignment horizontal="center"/>
    </xf>
    <xf numFmtId="10" fontId="2" fillId="2" borderId="7" xfId="0" applyNumberFormat="1" applyFont="1" applyFill="1" applyBorder="1"/>
    <xf numFmtId="0" fontId="0" fillId="2" borderId="0" xfId="0" applyFill="1"/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6" xfId="0" applyFont="1" applyFill="1" applyBorder="1"/>
    <xf numFmtId="0" fontId="2" fillId="2" borderId="6" xfId="0" applyFont="1" applyFill="1" applyBorder="1"/>
    <xf numFmtId="0" fontId="1" fillId="2" borderId="9" xfId="0" applyFont="1" applyFill="1" applyBorder="1"/>
    <xf numFmtId="0" fontId="2" fillId="2" borderId="9" xfId="0" applyFont="1" applyFill="1" applyBorder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6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19" xfId="0" applyFont="1" applyFill="1" applyBorder="1" applyAlignment="1">
      <alignment horizontal="right"/>
    </xf>
    <xf numFmtId="0" fontId="13" fillId="3" borderId="20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171" fontId="11" fillId="2" borderId="24" xfId="0" applyNumberFormat="1" applyFont="1" applyFill="1" applyBorder="1" applyAlignment="1">
      <alignment horizontal="center"/>
    </xf>
    <xf numFmtId="171" fontId="11" fillId="2" borderId="28" xfId="0" applyNumberFormat="1" applyFont="1" applyFill="1" applyBorder="1" applyAlignment="1">
      <alignment horizontal="center"/>
    </xf>
    <xf numFmtId="0" fontId="18" fillId="2" borderId="11" xfId="0" applyFont="1" applyFill="1" applyBorder="1"/>
    <xf numFmtId="0" fontId="11" fillId="2" borderId="22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71" fontId="11" fillId="2" borderId="29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1" xfId="0" applyFont="1" applyFill="1" applyBorder="1" applyAlignment="1">
      <alignment horizontal="center"/>
    </xf>
    <xf numFmtId="0" fontId="13" fillId="3" borderId="32" xfId="0" applyFont="1" applyFill="1" applyBorder="1" applyAlignment="1" applyProtection="1">
      <alignment horizontal="center"/>
      <protection locked="0"/>
    </xf>
    <xf numFmtId="171" fontId="11" fillId="2" borderId="33" xfId="0" applyNumberFormat="1" applyFont="1" applyFill="1" applyBorder="1" applyAlignment="1">
      <alignment horizontal="center"/>
    </xf>
    <xf numFmtId="171" fontId="11" fillId="2" borderId="34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1" fillId="2" borderId="22" xfId="0" applyFont="1" applyFill="1" applyBorder="1" applyAlignment="1">
      <alignment horizontal="right"/>
    </xf>
    <xf numFmtId="1" fontId="12" fillId="6" borderId="35" xfId="0" applyNumberFormat="1" applyFont="1" applyFill="1" applyBorder="1" applyAlignment="1">
      <alignment horizontal="center"/>
    </xf>
    <xf numFmtId="171" fontId="12" fillId="6" borderId="36" xfId="0" applyNumberFormat="1" applyFont="1" applyFill="1" applyBorder="1" applyAlignment="1">
      <alignment horizontal="center"/>
    </xf>
    <xf numFmtId="171" fontId="12" fillId="6" borderId="3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38" xfId="0" applyFont="1" applyFill="1" applyBorder="1" applyAlignment="1">
      <alignment horizontal="right"/>
    </xf>
    <xf numFmtId="0" fontId="13" fillId="3" borderId="14" xfId="0" applyFont="1" applyFill="1" applyBorder="1" applyAlignment="1" applyProtection="1">
      <alignment horizontal="center"/>
      <protection locked="0"/>
    </xf>
    <xf numFmtId="0" fontId="11" fillId="2" borderId="9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5" xfId="0" applyNumberFormat="1" applyFont="1" applyFill="1" applyBorder="1" applyAlignment="1">
      <alignment horizontal="center"/>
    </xf>
    <xf numFmtId="0" fontId="11" fillId="2" borderId="40" xfId="0" applyFont="1" applyFill="1" applyBorder="1" applyAlignment="1">
      <alignment horizontal="right"/>
    </xf>
    <xf numFmtId="166" fontId="13" fillId="3" borderId="39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7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3" xfId="0" applyFont="1" applyFill="1" applyBorder="1" applyAlignment="1">
      <alignment horizontal="right"/>
    </xf>
    <xf numFmtId="2" fontId="11" fillId="6" borderId="13" xfId="0" applyNumberFormat="1" applyFont="1" applyFill="1" applyBorder="1" applyAlignment="1">
      <alignment horizontal="center"/>
    </xf>
    <xf numFmtId="171" fontId="12" fillId="7" borderId="1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39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7" borderId="13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1" xfId="0" applyNumberFormat="1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13" fillId="3" borderId="19" xfId="0" applyFont="1" applyFill="1" applyBorder="1" applyAlignment="1" applyProtection="1">
      <alignment horizontal="center"/>
      <protection locked="0"/>
    </xf>
    <xf numFmtId="10" fontId="11" fillId="2" borderId="11" xfId="0" applyNumberFormat="1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/>
    </xf>
    <xf numFmtId="10" fontId="11" fillId="2" borderId="12" xfId="0" applyNumberFormat="1" applyFont="1" applyFill="1" applyBorder="1" applyAlignment="1">
      <alignment horizontal="center" vertical="center"/>
    </xf>
    <xf numFmtId="1" fontId="13" fillId="3" borderId="21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0" fontId="11" fillId="2" borderId="20" xfId="0" applyNumberFormat="1" applyFont="1" applyFill="1" applyBorder="1" applyAlignment="1">
      <alignment horizontal="center" vertical="center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42" xfId="0" applyNumberFormat="1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/>
    </xf>
    <xf numFmtId="2" fontId="14" fillId="2" borderId="42" xfId="0" applyNumberFormat="1" applyFont="1" applyFill="1" applyBorder="1" applyAlignment="1">
      <alignment horizontal="center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3" xfId="0" applyFont="1" applyFill="1" applyBorder="1" applyAlignment="1">
      <alignment horizontal="right"/>
    </xf>
    <xf numFmtId="10" fontId="13" fillId="7" borderId="31" xfId="0" applyNumberFormat="1" applyFont="1" applyFill="1" applyBorder="1" applyAlignment="1">
      <alignment horizontal="center"/>
    </xf>
    <xf numFmtId="0" fontId="11" fillId="2" borderId="39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0" fontId="13" fillId="7" borderId="45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6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8" xfId="0" applyNumberFormat="1" applyFont="1" applyFill="1" applyBorder="1" applyAlignment="1">
      <alignment horizontal="center"/>
    </xf>
    <xf numFmtId="1" fontId="12" fillId="6" borderId="49" xfId="0" applyNumberFormat="1" applyFont="1" applyFill="1" applyBorder="1" applyAlignment="1">
      <alignment horizontal="center"/>
    </xf>
    <xf numFmtId="171" fontId="12" fillId="6" borderId="13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51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2" fontId="11" fillId="6" borderId="2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5" xfId="0" applyNumberFormat="1" applyFont="1" applyFill="1" applyBorder="1" applyAlignment="1">
      <alignment horizontal="center"/>
    </xf>
    <xf numFmtId="166" fontId="11" fillId="6" borderId="25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5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2" xfId="0" applyFont="1" applyFill="1" applyBorder="1" applyAlignment="1">
      <alignment horizontal="right"/>
    </xf>
    <xf numFmtId="2" fontId="11" fillId="7" borderId="2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4" xfId="0" applyFont="1" applyFill="1" applyBorder="1" applyAlignment="1">
      <alignment horizontal="right"/>
    </xf>
    <xf numFmtId="171" fontId="12" fillId="7" borderId="1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39" xfId="0" applyNumberFormat="1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1" fontId="13" fillId="3" borderId="29" xfId="0" applyNumberFormat="1" applyFont="1" applyFill="1" applyBorder="1" applyAlignment="1" applyProtection="1">
      <alignment horizontal="center"/>
      <protection locked="0"/>
    </xf>
    <xf numFmtId="10" fontId="11" fillId="2" borderId="28" xfId="0" applyNumberFormat="1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center"/>
    </xf>
    <xf numFmtId="1" fontId="13" fillId="3" borderId="33" xfId="0" applyNumberFormat="1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/>
    </xf>
    <xf numFmtId="2" fontId="11" fillId="2" borderId="22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5" xfId="0" applyNumberFormat="1" applyFont="1" applyFill="1" applyBorder="1" applyAlignment="1">
      <alignment horizontal="center"/>
    </xf>
    <xf numFmtId="0" fontId="11" fillId="2" borderId="21" xfId="0" applyFont="1" applyFill="1" applyBorder="1"/>
    <xf numFmtId="10" fontId="13" fillId="6" borderId="25" xfId="0" applyNumberFormat="1" applyFont="1" applyFill="1" applyBorder="1" applyAlignment="1">
      <alignment horizontal="center"/>
    </xf>
    <xf numFmtId="0" fontId="11" fillId="2" borderId="41" xfId="0" applyFont="1" applyFill="1" applyBorder="1"/>
    <xf numFmtId="0" fontId="11" fillId="2" borderId="55" xfId="0" applyFont="1" applyFill="1" applyBorder="1" applyAlignment="1">
      <alignment horizontal="right"/>
    </xf>
    <xf numFmtId="0" fontId="13" fillId="7" borderId="15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/>
    <xf numFmtId="0" fontId="11" fillId="2" borderId="8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6" xfId="0" applyFont="1" applyFill="1" applyBorder="1"/>
    <xf numFmtId="0" fontId="11" fillId="2" borderId="6" xfId="0" applyFont="1" applyFill="1" applyBorder="1"/>
    <xf numFmtId="0" fontId="12" fillId="2" borderId="9" xfId="0" applyFont="1" applyFill="1" applyBorder="1"/>
    <xf numFmtId="0" fontId="11" fillId="2" borderId="9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19" xfId="0" applyNumberFormat="1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66" fontId="11" fillId="2" borderId="11" xfId="0" applyNumberFormat="1" applyFont="1" applyFill="1" applyBorder="1" applyAlignment="1">
      <alignment horizontal="center"/>
    </xf>
    <xf numFmtId="166" fontId="11" fillId="2" borderId="12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0" fontId="13" fillId="6" borderId="44" xfId="0" applyNumberFormat="1" applyFont="1" applyFill="1" applyBorder="1" applyAlignment="1">
      <alignment horizontal="center"/>
    </xf>
    <xf numFmtId="166" fontId="11" fillId="2" borderId="24" xfId="0" applyNumberFormat="1" applyFont="1" applyFill="1" applyBorder="1" applyAlignment="1">
      <alignment horizontal="center"/>
    </xf>
    <xf numFmtId="166" fontId="11" fillId="2" borderId="29" xfId="0" applyNumberFormat="1" applyFont="1" applyFill="1" applyBorder="1" applyAlignment="1">
      <alignment horizontal="center"/>
    </xf>
    <xf numFmtId="166" fontId="11" fillId="2" borderId="33" xfId="0" applyNumberFormat="1" applyFont="1" applyFill="1" applyBorder="1" applyAlignment="1">
      <alignment horizontal="center"/>
    </xf>
    <xf numFmtId="2" fontId="13" fillId="7" borderId="31" xfId="0" applyNumberFormat="1" applyFont="1" applyFill="1" applyBorder="1" applyAlignment="1">
      <alignment horizontal="center"/>
    </xf>
    <xf numFmtId="2" fontId="13" fillId="7" borderId="25" xfId="0" applyNumberFormat="1" applyFont="1" applyFill="1" applyBorder="1" applyAlignment="1">
      <alignment horizontal="center"/>
    </xf>
    <xf numFmtId="0" fontId="14" fillId="2" borderId="0" xfId="0" applyFont="1" applyFill="1"/>
    <xf numFmtId="10" fontId="2" fillId="2" borderId="0" xfId="0" applyNumberFormat="1" applyFont="1" applyFill="1" applyBorder="1"/>
    <xf numFmtId="0" fontId="12" fillId="2" borderId="0" xfId="0" applyFont="1" applyFill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2" fillId="2" borderId="46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38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6" xfId="0" applyFont="1" applyFill="1" applyBorder="1" applyAlignment="1">
      <alignment horizontal="center"/>
    </xf>
    <xf numFmtId="0" fontId="19" fillId="2" borderId="17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6" xfId="0" applyFont="1" applyFill="1" applyBorder="1" applyAlignment="1">
      <alignment horizontal="justify" vertical="center" wrapText="1"/>
    </xf>
    <xf numFmtId="0" fontId="19" fillId="2" borderId="17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6" xfId="0" applyFont="1" applyFill="1" applyBorder="1" applyAlignment="1">
      <alignment horizontal="left" vertical="center" wrapText="1"/>
    </xf>
    <xf numFmtId="0" fontId="19" fillId="2" borderId="17" xfId="0" applyFont="1" applyFill="1" applyBorder="1" applyAlignment="1">
      <alignment horizontal="left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2" fillId="2" borderId="46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56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2" xfId="0" applyNumberFormat="1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9" fillId="2" borderId="41" xfId="0" applyFont="1" applyFill="1" applyBorder="1" applyAlignment="1">
      <alignment horizontal="left" vertical="center" wrapText="1"/>
    </xf>
    <xf numFmtId="0" fontId="19" fillId="2" borderId="42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2" fontId="13" fillId="3" borderId="11" xfId="0" applyNumberFormat="1" applyFont="1" applyFill="1" applyBorder="1" applyAlignment="1" applyProtection="1">
      <alignment horizontal="center" vertical="center"/>
      <protection locked="0"/>
    </xf>
    <xf numFmtId="2" fontId="13" fillId="3" borderId="12" xfId="0" applyNumberFormat="1" applyFont="1" applyFill="1" applyBorder="1" applyAlignment="1" applyProtection="1">
      <alignment horizontal="center" vertical="center"/>
      <protection locked="0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12" fillId="2" borderId="41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 wrapText="1"/>
    </xf>
    <xf numFmtId="0" fontId="19" fillId="2" borderId="20" xfId="0" applyFont="1" applyFill="1" applyBorder="1" applyAlignment="1">
      <alignment horizontal="center" vertical="center" wrapText="1"/>
    </xf>
    <xf numFmtId="0" fontId="19" fillId="2" borderId="41" xfId="0" applyFont="1" applyFill="1" applyBorder="1" applyAlignment="1">
      <alignment horizontal="center" vertical="center" wrapText="1"/>
    </xf>
    <xf numFmtId="0" fontId="19" fillId="2" borderId="42" xfId="0" applyFont="1" applyFill="1" applyBorder="1" applyAlignment="1">
      <alignment horizontal="center" vertical="center" wrapText="1"/>
    </xf>
    <xf numFmtId="0" fontId="24" fillId="2" borderId="0" xfId="0" applyFont="1" applyFill="1" applyAlignment="1">
      <alignment horizontal="center"/>
    </xf>
    <xf numFmtId="166" fontId="6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2" fontId="7" fillId="3" borderId="29" xfId="0" applyNumberFormat="1" applyFont="1" applyFill="1" applyBorder="1" applyAlignment="1" applyProtection="1">
      <alignment horizontal="center"/>
      <protection locked="0"/>
    </xf>
    <xf numFmtId="2" fontId="7" fillId="3" borderId="33" xfId="0" applyNumberFormat="1" applyFont="1" applyFill="1" applyBorder="1" applyAlignment="1" applyProtection="1">
      <alignment horizontal="center"/>
      <protection locked="0"/>
    </xf>
    <xf numFmtId="2" fontId="7" fillId="3" borderId="58" xfId="0" applyNumberFormat="1" applyFont="1" applyFill="1" applyBorder="1" applyAlignment="1" applyProtection="1">
      <alignment horizontal="center"/>
      <protection locked="0"/>
    </xf>
    <xf numFmtId="1" fontId="13" fillId="3" borderId="32" xfId="0" applyNumberFormat="1" applyFont="1" applyFill="1" applyBorder="1" applyAlignment="1" applyProtection="1">
      <alignment horizontal="center"/>
      <protection locked="0"/>
    </xf>
    <xf numFmtId="10" fontId="2" fillId="2" borderId="0" xfId="2" applyNumberFormat="1" applyFont="1" applyFill="1"/>
    <xf numFmtId="0" fontId="1" fillId="2" borderId="0" xfId="3" applyFont="1" applyFill="1"/>
    <xf numFmtId="0" fontId="10" fillId="2" borderId="16" xfId="3" applyFont="1" applyFill="1" applyBorder="1" applyAlignment="1">
      <alignment horizontal="center" wrapText="1"/>
    </xf>
    <xf numFmtId="0" fontId="10" fillId="2" borderId="17" xfId="3" applyFont="1" applyFill="1" applyBorder="1" applyAlignment="1">
      <alignment horizontal="center" wrapText="1"/>
    </xf>
    <xf numFmtId="0" fontId="10" fillId="2" borderId="18" xfId="3" applyFont="1" applyFill="1" applyBorder="1" applyAlignment="1">
      <alignment horizontal="center" wrapText="1"/>
    </xf>
    <xf numFmtId="0" fontId="10" fillId="2" borderId="0" xfId="3" applyFont="1" applyFill="1" applyAlignment="1">
      <alignment wrapText="1"/>
    </xf>
    <xf numFmtId="0" fontId="4" fillId="2" borderId="0" xfId="3" applyFont="1" applyFill="1" applyAlignment="1">
      <alignment horizontal="center"/>
    </xf>
    <xf numFmtId="0" fontId="4" fillId="2" borderId="0" xfId="3" applyFont="1" applyFill="1"/>
    <xf numFmtId="0" fontId="5" fillId="2" borderId="0" xfId="3" applyFont="1" applyFill="1" applyAlignment="1">
      <alignment horizontal="right"/>
    </xf>
    <xf numFmtId="0" fontId="6" fillId="2" borderId="0" xfId="3" applyFont="1" applyFill="1"/>
    <xf numFmtId="167" fontId="6" fillId="2" borderId="0" xfId="3" applyNumberFormat="1" applyFont="1" applyFill="1" applyAlignment="1">
      <alignment horizontal="center"/>
    </xf>
    <xf numFmtId="0" fontId="5" fillId="2" borderId="0" xfId="3" applyFont="1" applyFill="1" applyAlignment="1">
      <alignment horizontal="right"/>
    </xf>
    <xf numFmtId="167" fontId="6" fillId="2" borderId="0" xfId="3" applyNumberFormat="1" applyFont="1" applyFill="1"/>
    <xf numFmtId="0" fontId="4" fillId="2" borderId="0" xfId="3" applyFont="1" applyFill="1" applyAlignment="1">
      <alignment horizontal="left"/>
    </xf>
    <xf numFmtId="0" fontId="9" fillId="2" borderId="0" xfId="3" applyFont="1" applyFill="1"/>
    <xf numFmtId="164" fontId="1" fillId="2" borderId="0" xfId="3" applyNumberFormat="1" applyFont="1" applyFill="1" applyAlignment="1">
      <alignment horizontal="center"/>
    </xf>
    <xf numFmtId="164" fontId="1" fillId="2" borderId="0" xfId="3" applyNumberFormat="1" applyFont="1" applyFill="1"/>
    <xf numFmtId="164" fontId="5" fillId="2" borderId="10" xfId="3" applyNumberFormat="1" applyFont="1" applyFill="1" applyBorder="1" applyAlignment="1">
      <alignment horizontal="center" wrapText="1"/>
    </xf>
    <xf numFmtId="0" fontId="5" fillId="2" borderId="10" xfId="3" applyFont="1" applyFill="1" applyBorder="1" applyAlignment="1">
      <alignment horizontal="center" wrapText="1"/>
    </xf>
    <xf numFmtId="0" fontId="2" fillId="2" borderId="0" xfId="3" applyFont="1" applyFill="1" applyAlignment="1">
      <alignment horizontal="center"/>
    </xf>
    <xf numFmtId="2" fontId="6" fillId="3" borderId="12" xfId="3" applyNumberFormat="1" applyFont="1" applyFill="1" applyBorder="1" applyProtection="1">
      <protection locked="0"/>
    </xf>
    <xf numFmtId="10" fontId="6" fillId="2" borderId="11" xfId="3" applyNumberFormat="1" applyFont="1" applyFill="1" applyBorder="1" applyAlignment="1">
      <alignment horizontal="center"/>
    </xf>
    <xf numFmtId="10" fontId="6" fillId="2" borderId="0" xfId="3" applyNumberFormat="1" applyFont="1" applyFill="1" applyAlignment="1">
      <alignment horizontal="center"/>
    </xf>
    <xf numFmtId="10" fontId="6" fillId="2" borderId="12" xfId="3" applyNumberFormat="1" applyFont="1" applyFill="1" applyBorder="1" applyAlignment="1">
      <alignment horizontal="center"/>
    </xf>
    <xf numFmtId="2" fontId="6" fillId="3" borderId="13" xfId="3" applyNumberFormat="1" applyFont="1" applyFill="1" applyBorder="1" applyProtection="1">
      <protection locked="0"/>
    </xf>
    <xf numFmtId="10" fontId="6" fillId="2" borderId="13" xfId="3" applyNumberFormat="1" applyFont="1" applyFill="1" applyBorder="1" applyAlignment="1">
      <alignment horizontal="center"/>
    </xf>
    <xf numFmtId="166" fontId="2" fillId="2" borderId="0" xfId="3" applyNumberFormat="1" applyFont="1" applyFill="1" applyAlignment="1">
      <alignment horizontal="center"/>
    </xf>
    <xf numFmtId="10" fontId="2" fillId="2" borderId="0" xfId="3" applyNumberFormat="1" applyFont="1" applyFill="1" applyAlignment="1">
      <alignment horizontal="center"/>
    </xf>
    <xf numFmtId="0" fontId="6" fillId="2" borderId="10" xfId="3" applyFont="1" applyFill="1" applyBorder="1" applyAlignment="1">
      <alignment horizontal="right" vertical="center"/>
    </xf>
    <xf numFmtId="166" fontId="6" fillId="2" borderId="10" xfId="3" applyNumberFormat="1" applyFont="1" applyFill="1" applyBorder="1" applyAlignment="1">
      <alignment horizontal="center" vertical="center"/>
    </xf>
    <xf numFmtId="166" fontId="6" fillId="2" borderId="0" xfId="3" applyNumberFormat="1" applyFont="1" applyFill="1" applyAlignment="1">
      <alignment horizontal="center"/>
    </xf>
    <xf numFmtId="164" fontId="5" fillId="2" borderId="10" xfId="3" applyNumberFormat="1" applyFont="1" applyFill="1" applyBorder="1" applyAlignment="1">
      <alignment horizontal="center" vertical="center"/>
    </xf>
    <xf numFmtId="2" fontId="8" fillId="2" borderId="0" xfId="3" applyNumberFormat="1" applyFont="1" applyFill="1" applyAlignment="1">
      <alignment horizontal="right"/>
    </xf>
    <xf numFmtId="2" fontId="5" fillId="2" borderId="0" xfId="3" applyNumberFormat="1" applyFont="1" applyFill="1"/>
    <xf numFmtId="2" fontId="8" fillId="2" borderId="0" xfId="3" applyNumberFormat="1" applyFont="1" applyFill="1"/>
    <xf numFmtId="0" fontId="5" fillId="2" borderId="10" xfId="3" applyFont="1" applyFill="1" applyBorder="1" applyAlignment="1">
      <alignment horizontal="center" vertical="center"/>
    </xf>
    <xf numFmtId="10" fontId="2" fillId="2" borderId="0" xfId="3" applyNumberFormat="1" applyFont="1" applyFill="1"/>
    <xf numFmtId="166" fontId="5" fillId="2" borderId="11" xfId="3" applyNumberFormat="1" applyFont="1" applyFill="1" applyBorder="1" applyAlignment="1">
      <alignment horizontal="center" vertical="center"/>
    </xf>
    <xf numFmtId="165" fontId="5" fillId="2" borderId="14" xfId="3" applyNumberFormat="1" applyFont="1" applyFill="1" applyBorder="1" applyAlignment="1">
      <alignment horizontal="center"/>
    </xf>
    <xf numFmtId="2" fontId="5" fillId="2" borderId="10" xfId="3" applyNumberFormat="1" applyFont="1" applyFill="1" applyBorder="1" applyAlignment="1">
      <alignment horizontal="center" vertical="center"/>
    </xf>
    <xf numFmtId="166" fontId="5" fillId="2" borderId="13" xfId="3" applyNumberFormat="1" applyFont="1" applyFill="1" applyBorder="1" applyAlignment="1">
      <alignment horizontal="center" vertical="center"/>
    </xf>
    <xf numFmtId="165" fontId="5" fillId="2" borderId="15" xfId="3" applyNumberFormat="1" applyFont="1" applyFill="1" applyBorder="1" applyAlignment="1">
      <alignment horizontal="center"/>
    </xf>
    <xf numFmtId="0" fontId="6" fillId="2" borderId="7" xfId="3" applyFont="1" applyFill="1" applyBorder="1"/>
    <xf numFmtId="0" fontId="6" fillId="2" borderId="0" xfId="3" applyFont="1" applyFill="1" applyAlignment="1">
      <alignment horizontal="center"/>
    </xf>
    <xf numFmtId="10" fontId="6" fillId="2" borderId="7" xfId="3" applyNumberFormat="1" applyFont="1" applyFill="1" applyBorder="1"/>
    <xf numFmtId="0" fontId="5" fillId="2" borderId="8" xfId="3" applyFont="1" applyFill="1" applyBorder="1"/>
    <xf numFmtId="0" fontId="5" fillId="2" borderId="8" xfId="3" applyFont="1" applyFill="1" applyBorder="1" applyAlignment="1">
      <alignment horizontal="center"/>
    </xf>
    <xf numFmtId="0" fontId="6" fillId="2" borderId="8" xfId="3" applyFont="1" applyFill="1" applyBorder="1" applyAlignment="1">
      <alignment horizontal="center"/>
    </xf>
    <xf numFmtId="0" fontId="6" fillId="2" borderId="6" xfId="3" applyFont="1" applyFill="1" applyBorder="1"/>
    <xf numFmtId="0" fontId="5" fillId="2" borderId="9" xfId="3" applyFont="1" applyFill="1" applyBorder="1"/>
    <xf numFmtId="0" fontId="5" fillId="2" borderId="0" xfId="3" applyFont="1" applyFill="1"/>
    <xf numFmtId="0" fontId="6" fillId="2" borderId="9" xfId="3" applyFont="1" applyFill="1" applyBorder="1"/>
    <xf numFmtId="0" fontId="27" fillId="2" borderId="0" xfId="3" applyFill="1"/>
    <xf numFmtId="2" fontId="5" fillId="4" borderId="2" xfId="0" applyNumberFormat="1" applyFont="1" applyFill="1" applyBorder="1" applyAlignment="1">
      <alignment horizontal="center"/>
    </xf>
    <xf numFmtId="0" fontId="5" fillId="2" borderId="60" xfId="0" applyFont="1" applyFill="1" applyBorder="1" applyAlignment="1">
      <alignment horizontal="center"/>
    </xf>
    <xf numFmtId="2" fontId="7" fillId="3" borderId="61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2" fontId="5" fillId="4" borderId="63" xfId="0" applyNumberFormat="1" applyFont="1" applyFill="1" applyBorder="1" applyAlignment="1">
      <alignment horizontal="center"/>
    </xf>
    <xf numFmtId="174" fontId="7" fillId="3" borderId="3" xfId="0" applyNumberFormat="1" applyFont="1" applyFill="1" applyBorder="1" applyAlignment="1" applyProtection="1">
      <alignment horizontal="center"/>
      <protection locked="0"/>
    </xf>
    <xf numFmtId="174" fontId="7" fillId="3" borderId="5" xfId="0" applyNumberFormat="1" applyFont="1" applyFill="1" applyBorder="1" applyAlignment="1" applyProtection="1">
      <alignment horizontal="center"/>
      <protection locked="0"/>
    </xf>
    <xf numFmtId="174" fontId="7" fillId="3" borderId="4" xfId="0" applyNumberFormat="1" applyFont="1" applyFill="1" applyBorder="1" applyAlignment="1" applyProtection="1">
      <alignment horizontal="center"/>
      <protection locked="0"/>
    </xf>
    <xf numFmtId="9" fontId="15" fillId="2" borderId="12" xfId="2" applyFont="1" applyFill="1" applyBorder="1" applyAlignment="1">
      <alignment horizontal="center" vertical="center"/>
    </xf>
    <xf numFmtId="10" fontId="11" fillId="2" borderId="19" xfId="0" applyNumberFormat="1" applyFont="1" applyFill="1" applyBorder="1" applyAlignment="1">
      <alignment horizontal="center" vertical="center"/>
    </xf>
    <xf numFmtId="10" fontId="11" fillId="2" borderId="21" xfId="0" applyNumberFormat="1" applyFont="1" applyFill="1" applyBorder="1" applyAlignment="1">
      <alignment horizontal="center" vertical="center"/>
    </xf>
    <xf numFmtId="0" fontId="12" fillId="2" borderId="64" xfId="0" applyFont="1" applyFill="1" applyBorder="1" applyAlignment="1">
      <alignment horizontal="center"/>
    </xf>
    <xf numFmtId="0" fontId="5" fillId="2" borderId="65" xfId="0" applyFont="1" applyFill="1" applyBorder="1" applyAlignment="1">
      <alignment horizontal="center"/>
    </xf>
    <xf numFmtId="0" fontId="5" fillId="2" borderId="66" xfId="0" applyFont="1" applyFill="1" applyBorder="1" applyAlignment="1">
      <alignment horizontal="center"/>
    </xf>
    <xf numFmtId="10" fontId="11" fillId="2" borderId="8" xfId="0" applyNumberFormat="1" applyFont="1" applyFill="1" applyBorder="1" applyAlignment="1">
      <alignment horizontal="center" vertical="center"/>
    </xf>
    <xf numFmtId="10" fontId="11" fillId="2" borderId="0" xfId="0" applyNumberFormat="1" applyFont="1" applyFill="1" applyBorder="1" applyAlignment="1">
      <alignment horizontal="center" vertical="center"/>
    </xf>
    <xf numFmtId="10" fontId="11" fillId="2" borderId="7" xfId="0" applyNumberFormat="1" applyFont="1" applyFill="1" applyBorder="1" applyAlignment="1">
      <alignment horizontal="center" vertical="center"/>
    </xf>
    <xf numFmtId="0" fontId="5" fillId="2" borderId="67" xfId="0" applyFont="1" applyFill="1" applyBorder="1" applyAlignment="1">
      <alignment horizontal="center"/>
    </xf>
    <xf numFmtId="10" fontId="11" fillId="2" borderId="41" xfId="0" applyNumberFormat="1" applyFont="1" applyFill="1" applyBorder="1" applyAlignment="1">
      <alignment horizontal="center" vertical="center"/>
    </xf>
    <xf numFmtId="171" fontId="11" fillId="2" borderId="0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171" fontId="11" fillId="2" borderId="6" xfId="0" applyNumberFormat="1" applyFont="1" applyFill="1" applyBorder="1" applyAlignment="1">
      <alignment horizontal="center"/>
    </xf>
    <xf numFmtId="0" fontId="12" fillId="2" borderId="52" xfId="0" applyFont="1" applyFill="1" applyBorder="1" applyAlignment="1">
      <alignment horizontal="center"/>
    </xf>
    <xf numFmtId="0" fontId="13" fillId="3" borderId="57" xfId="0" applyFont="1" applyFill="1" applyBorder="1" applyAlignment="1" applyProtection="1">
      <alignment horizontal="center"/>
      <protection locked="0"/>
    </xf>
    <xf numFmtId="0" fontId="13" fillId="3" borderId="58" xfId="0" applyFont="1" applyFill="1" applyBorder="1" applyAlignment="1" applyProtection="1">
      <alignment horizontal="center"/>
      <protection locked="0"/>
    </xf>
    <xf numFmtId="0" fontId="13" fillId="3" borderId="59" xfId="0" applyFont="1" applyFill="1" applyBorder="1" applyAlignment="1" applyProtection="1">
      <alignment horizontal="center"/>
      <protection locked="0"/>
    </xf>
    <xf numFmtId="166" fontId="12" fillId="6" borderId="48" xfId="0" applyNumberFormat="1" applyFont="1" applyFill="1" applyBorder="1" applyAlignment="1">
      <alignment horizontal="center"/>
    </xf>
    <xf numFmtId="166" fontId="12" fillId="6" borderId="49" xfId="0" applyNumberFormat="1" applyFont="1" applyFill="1" applyBorder="1" applyAlignment="1">
      <alignment horizontal="center"/>
    </xf>
    <xf numFmtId="0" fontId="12" fillId="2" borderId="68" xfId="0" applyFont="1" applyFill="1" applyBorder="1" applyAlignment="1">
      <alignment horizontal="center"/>
    </xf>
    <xf numFmtId="0" fontId="12" fillId="2" borderId="69" xfId="0" applyFont="1" applyFill="1" applyBorder="1" applyAlignment="1">
      <alignment horizontal="center"/>
    </xf>
    <xf numFmtId="0" fontId="12" fillId="2" borderId="70" xfId="0" applyFont="1" applyFill="1" applyBorder="1" applyAlignment="1">
      <alignment horizontal="center"/>
    </xf>
    <xf numFmtId="0" fontId="12" fillId="2" borderId="71" xfId="0" applyFont="1" applyFill="1" applyBorder="1" applyAlignment="1">
      <alignment horizontal="center"/>
    </xf>
    <xf numFmtId="0" fontId="13" fillId="3" borderId="72" xfId="0" applyFont="1" applyFill="1" applyBorder="1" applyAlignment="1" applyProtection="1">
      <alignment horizontal="center"/>
      <protection locked="0"/>
    </xf>
    <xf numFmtId="171" fontId="11" fillId="2" borderId="71" xfId="0" applyNumberFormat="1" applyFont="1" applyFill="1" applyBorder="1" applyAlignment="1">
      <alignment horizontal="center"/>
    </xf>
    <xf numFmtId="0" fontId="13" fillId="3" borderId="73" xfId="0" applyFont="1" applyFill="1" applyBorder="1" applyAlignment="1" applyProtection="1">
      <alignment horizontal="center"/>
      <protection locked="0"/>
    </xf>
    <xf numFmtId="171" fontId="11" fillId="2" borderId="74" xfId="0" applyNumberFormat="1" applyFont="1" applyFill="1" applyBorder="1" applyAlignment="1">
      <alignment horizontal="center"/>
    </xf>
    <xf numFmtId="1" fontId="13" fillId="3" borderId="75" xfId="0" applyNumberFormat="1" applyFont="1" applyFill="1" applyBorder="1" applyAlignment="1" applyProtection="1">
      <alignment horizontal="center"/>
      <protection locked="0"/>
    </xf>
    <xf numFmtId="171" fontId="11" fillId="2" borderId="76" xfId="0" applyNumberFormat="1" applyFont="1" applyFill="1" applyBorder="1" applyAlignment="1">
      <alignment horizontal="center"/>
    </xf>
    <xf numFmtId="171" fontId="13" fillId="3" borderId="29" xfId="0" applyNumberFormat="1" applyFont="1" applyFill="1" applyBorder="1" applyAlignment="1" applyProtection="1">
      <alignment horizontal="center"/>
      <protection locked="0"/>
    </xf>
    <xf numFmtId="171" fontId="13" fillId="3" borderId="33" xfId="0" applyNumberFormat="1" applyFont="1" applyFill="1" applyBorder="1" applyAlignment="1" applyProtection="1">
      <alignment horizontal="center"/>
      <protection locked="0"/>
    </xf>
    <xf numFmtId="10" fontId="11" fillId="2" borderId="64" xfId="0" applyNumberFormat="1" applyFont="1" applyFill="1" applyBorder="1" applyAlignment="1">
      <alignment horizontal="center" vertical="center"/>
    </xf>
    <xf numFmtId="10" fontId="11" fillId="2" borderId="77" xfId="0" applyNumberFormat="1" applyFont="1" applyFill="1" applyBorder="1" applyAlignment="1">
      <alignment horizontal="center" vertical="center"/>
    </xf>
    <xf numFmtId="10" fontId="11" fillId="2" borderId="78" xfId="0" applyNumberFormat="1" applyFont="1" applyFill="1" applyBorder="1" applyAlignment="1">
      <alignment horizontal="center" vertical="center"/>
    </xf>
    <xf numFmtId="166" fontId="11" fillId="2" borderId="41" xfId="0" applyNumberFormat="1" applyFont="1" applyFill="1" applyBorder="1" applyAlignment="1">
      <alignment horizontal="center"/>
    </xf>
  </cellXfs>
  <cellStyles count="5">
    <cellStyle name="Normal" xfId="0" builtinId="0"/>
    <cellStyle name="Normal 2" xfId="1"/>
    <cellStyle name="Normal 3" xfId="3"/>
    <cellStyle name="Normal 4" xfId="4"/>
    <cellStyle name="Percent" xfId="2" builtinId="5"/>
  </cellStyles>
  <dxfs count="66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H61"/>
  <sheetViews>
    <sheetView view="pageBreakPreview" topLeftCell="A19" zoomScale="60" zoomScaleNormal="80" workbookViewId="0">
      <selection activeCell="C54" sqref="C54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88671875" style="176" customWidth="1"/>
    <col min="6" max="6" width="28.44140625" style="4" customWidth="1"/>
    <col min="7" max="7" width="21.5546875" style="4" customWidth="1"/>
    <col min="8" max="8" width="9.109375" style="4" customWidth="1"/>
  </cols>
  <sheetData>
    <row r="14" spans="1:5" ht="15" customHeight="1" x14ac:dyDescent="0.3">
      <c r="A14" s="1"/>
      <c r="B14" s="2"/>
      <c r="C14" s="3"/>
      <c r="D14" s="2"/>
    </row>
    <row r="15" spans="1:5" ht="18.75" customHeight="1" x14ac:dyDescent="0.35">
      <c r="A15" s="237" t="s">
        <v>0</v>
      </c>
      <c r="B15" s="237"/>
      <c r="C15" s="237"/>
      <c r="D15" s="237"/>
      <c r="E15" s="237"/>
    </row>
    <row r="16" spans="1:5" ht="16.5" customHeight="1" x14ac:dyDescent="0.3">
      <c r="A16" s="5" t="s">
        <v>1</v>
      </c>
      <c r="B16" s="45" t="s">
        <v>131</v>
      </c>
    </row>
    <row r="17" spans="1:5" ht="16.5" customHeight="1" x14ac:dyDescent="0.3">
      <c r="A17" s="7" t="s">
        <v>2</v>
      </c>
      <c r="B17" s="8" t="s">
        <v>118</v>
      </c>
      <c r="D17" s="9"/>
      <c r="E17" s="9"/>
    </row>
    <row r="18" spans="1:5" ht="16.5" customHeight="1" x14ac:dyDescent="0.3">
      <c r="A18" s="11" t="s">
        <v>3</v>
      </c>
      <c r="B18" s="278" t="s">
        <v>119</v>
      </c>
      <c r="C18" s="10"/>
      <c r="D18" s="10"/>
      <c r="E18" s="46"/>
    </row>
    <row r="19" spans="1:5" ht="16.5" customHeight="1" x14ac:dyDescent="0.3">
      <c r="A19" s="11" t="s">
        <v>4</v>
      </c>
      <c r="B19" s="12">
        <v>99.6</v>
      </c>
      <c r="C19" s="10"/>
      <c r="D19" s="10"/>
      <c r="E19" s="46"/>
    </row>
    <row r="20" spans="1:5" ht="16.5" customHeight="1" x14ac:dyDescent="0.3">
      <c r="A20" s="7" t="s">
        <v>5</v>
      </c>
      <c r="B20" s="12">
        <f>Mutua!D43</f>
        <v>20.58</v>
      </c>
      <c r="C20" s="10"/>
      <c r="D20" s="10"/>
      <c r="E20" s="46"/>
    </row>
    <row r="21" spans="1:5" ht="16.5" customHeight="1" x14ac:dyDescent="0.3">
      <c r="A21" s="7" t="s">
        <v>6</v>
      </c>
      <c r="B21" s="280">
        <f>B20/20*10/50</f>
        <v>0.20579999999999998</v>
      </c>
      <c r="C21" s="279"/>
      <c r="D21" s="10"/>
      <c r="E21" s="46"/>
    </row>
    <row r="22" spans="1:5" ht="15.75" customHeight="1" x14ac:dyDescent="0.3">
      <c r="A22" s="10"/>
      <c r="B22" s="10"/>
      <c r="C22" s="10"/>
      <c r="D22" s="10"/>
      <c r="E22" s="46"/>
    </row>
    <row r="23" spans="1:5" ht="16.5" customHeight="1" x14ac:dyDescent="0.3">
      <c r="A23" s="14" t="s">
        <v>7</v>
      </c>
      <c r="B23" s="15" t="s">
        <v>8</v>
      </c>
      <c r="C23" s="14" t="s">
        <v>9</v>
      </c>
      <c r="D23" s="14" t="s">
        <v>10</v>
      </c>
      <c r="E23" s="16" t="s">
        <v>11</v>
      </c>
    </row>
    <row r="24" spans="1:5" ht="16.5" customHeight="1" x14ac:dyDescent="0.3">
      <c r="A24" s="17">
        <v>1</v>
      </c>
      <c r="B24" s="18">
        <v>25857835</v>
      </c>
      <c r="C24" s="344">
        <v>3196.2</v>
      </c>
      <c r="D24" s="344">
        <v>1.2</v>
      </c>
      <c r="E24" s="346">
        <v>9</v>
      </c>
    </row>
    <row r="25" spans="1:5" ht="16.5" customHeight="1" x14ac:dyDescent="0.3">
      <c r="A25" s="17">
        <v>2</v>
      </c>
      <c r="B25" s="18">
        <v>25918419</v>
      </c>
      <c r="C25" s="344">
        <v>3355.2</v>
      </c>
      <c r="D25" s="344">
        <v>1.2</v>
      </c>
      <c r="E25" s="344">
        <v>9</v>
      </c>
    </row>
    <row r="26" spans="1:5" ht="16.5" customHeight="1" x14ac:dyDescent="0.3">
      <c r="A26" s="17">
        <v>3</v>
      </c>
      <c r="B26" s="18">
        <v>25935253</v>
      </c>
      <c r="C26" s="344">
        <v>3579</v>
      </c>
      <c r="D26" s="344">
        <v>1.1000000000000001</v>
      </c>
      <c r="E26" s="344">
        <v>9</v>
      </c>
    </row>
    <row r="27" spans="1:5" ht="16.5" customHeight="1" x14ac:dyDescent="0.3">
      <c r="A27" s="17">
        <v>4</v>
      </c>
      <c r="B27" s="18">
        <v>25831395</v>
      </c>
      <c r="C27" s="344">
        <v>3766.3</v>
      </c>
      <c r="D27" s="344">
        <v>1.1000000000000001</v>
      </c>
      <c r="E27" s="344">
        <v>9</v>
      </c>
    </row>
    <row r="28" spans="1:5" ht="16.5" customHeight="1" x14ac:dyDescent="0.3">
      <c r="A28" s="17">
        <v>5</v>
      </c>
      <c r="B28" s="18">
        <v>25583180</v>
      </c>
      <c r="C28" s="344">
        <v>3926.5</v>
      </c>
      <c r="D28" s="344">
        <v>1.1000000000000001</v>
      </c>
      <c r="E28" s="344">
        <v>9</v>
      </c>
    </row>
    <row r="29" spans="1:5" ht="16.5" customHeight="1" x14ac:dyDescent="0.3">
      <c r="A29" s="17">
        <v>6</v>
      </c>
      <c r="B29" s="19">
        <v>25861397</v>
      </c>
      <c r="C29" s="345">
        <v>4032.3</v>
      </c>
      <c r="D29" s="345">
        <v>1.1000000000000001</v>
      </c>
      <c r="E29" s="345">
        <v>9</v>
      </c>
    </row>
    <row r="30" spans="1:5" ht="16.5" customHeight="1" x14ac:dyDescent="0.3">
      <c r="A30" s="20" t="s">
        <v>12</v>
      </c>
      <c r="B30" s="21">
        <f>AVERAGE(B24:B29)</f>
        <v>25831246.5</v>
      </c>
      <c r="C30" s="23">
        <f>AVERAGE(C24:C29)</f>
        <v>3642.5833333333335</v>
      </c>
      <c r="D30" s="23">
        <f>AVERAGE(D24:D29)</f>
        <v>1.1333333333333331</v>
      </c>
      <c r="E30" s="23">
        <f>AVERAGE(E24:E29)</f>
        <v>9</v>
      </c>
    </row>
    <row r="31" spans="1:5" ht="16.5" customHeight="1" x14ac:dyDescent="0.3">
      <c r="A31" s="24" t="s">
        <v>13</v>
      </c>
      <c r="B31" s="25">
        <f>(STDEV(B24:B29)/B30)</f>
        <v>4.944624198436158E-3</v>
      </c>
      <c r="C31" s="26"/>
      <c r="D31" s="26"/>
      <c r="E31" s="26"/>
    </row>
    <row r="32" spans="1:5" s="2" customFormat="1" ht="16.5" customHeight="1" x14ac:dyDescent="0.3">
      <c r="A32" s="27" t="s">
        <v>14</v>
      </c>
      <c r="B32" s="28">
        <f>COUNT(B24:B29)</f>
        <v>6</v>
      </c>
      <c r="C32" s="29"/>
      <c r="D32" s="30"/>
      <c r="E32" s="47"/>
    </row>
    <row r="33" spans="1:5" s="2" customFormat="1" ht="15.75" customHeight="1" x14ac:dyDescent="0.3">
      <c r="A33" s="10"/>
      <c r="B33" s="10"/>
      <c r="C33" s="10"/>
      <c r="D33" s="10"/>
      <c r="E33" s="46"/>
    </row>
    <row r="34" spans="1:5" s="2" customFormat="1" ht="16.5" customHeight="1" x14ac:dyDescent="0.3">
      <c r="A34" s="11" t="s">
        <v>15</v>
      </c>
      <c r="B34" s="31" t="s">
        <v>16</v>
      </c>
      <c r="C34" s="32"/>
      <c r="D34" s="32"/>
      <c r="E34" s="33"/>
    </row>
    <row r="35" spans="1:5" ht="16.5" customHeight="1" x14ac:dyDescent="0.3">
      <c r="A35" s="11"/>
      <c r="B35" s="31" t="s">
        <v>17</v>
      </c>
      <c r="C35" s="32"/>
      <c r="D35" s="32"/>
      <c r="E35" s="33"/>
    </row>
    <row r="36" spans="1:5" ht="16.5" customHeight="1" x14ac:dyDescent="0.3">
      <c r="A36" s="11"/>
      <c r="B36" s="34" t="s">
        <v>18</v>
      </c>
      <c r="C36" s="32"/>
      <c r="D36" s="32"/>
      <c r="E36" s="33"/>
    </row>
    <row r="37" spans="1:5" ht="15.75" customHeight="1" x14ac:dyDescent="0.3">
      <c r="A37" s="10"/>
      <c r="B37" s="10"/>
      <c r="C37" s="10"/>
      <c r="D37" s="10"/>
      <c r="E37" s="46"/>
    </row>
    <row r="38" spans="1:5" ht="16.5" customHeight="1" x14ac:dyDescent="0.3">
      <c r="A38" s="5" t="s">
        <v>1</v>
      </c>
      <c r="B38" s="6" t="s">
        <v>130</v>
      </c>
    </row>
    <row r="39" spans="1:5" ht="16.5" customHeight="1" x14ac:dyDescent="0.3">
      <c r="A39" s="11" t="s">
        <v>3</v>
      </c>
      <c r="B39" s="9" t="str">
        <f>B18</f>
        <v>Albendazole</v>
      </c>
      <c r="C39" s="10"/>
      <c r="D39" s="10"/>
      <c r="E39" s="46"/>
    </row>
    <row r="40" spans="1:5" ht="16.5" customHeight="1" x14ac:dyDescent="0.3">
      <c r="A40" s="11" t="s">
        <v>4</v>
      </c>
      <c r="B40" s="12">
        <f>Mutua!B81</f>
        <v>99.6</v>
      </c>
      <c r="C40" s="10"/>
      <c r="D40" s="10"/>
      <c r="E40" s="46"/>
    </row>
    <row r="41" spans="1:5" ht="16.5" customHeight="1" x14ac:dyDescent="0.3">
      <c r="A41" s="7" t="s">
        <v>5</v>
      </c>
      <c r="B41" s="12">
        <v>31.59</v>
      </c>
      <c r="C41" s="10"/>
      <c r="D41" s="10"/>
      <c r="E41" s="46"/>
    </row>
    <row r="42" spans="1:5" ht="16.5" customHeight="1" x14ac:dyDescent="0.3">
      <c r="A42" s="7" t="s">
        <v>6</v>
      </c>
      <c r="B42" s="13">
        <f>B41/100</f>
        <v>0.31590000000000001</v>
      </c>
      <c r="C42" s="10"/>
      <c r="D42" s="10"/>
      <c r="E42" s="46"/>
    </row>
    <row r="43" spans="1:5" ht="15.75" customHeight="1" x14ac:dyDescent="0.3">
      <c r="A43" s="10"/>
      <c r="B43" s="10"/>
      <c r="C43" s="10"/>
      <c r="D43" s="10"/>
      <c r="E43" s="46"/>
    </row>
    <row r="44" spans="1:5" ht="16.5" customHeight="1" x14ac:dyDescent="0.3">
      <c r="A44" s="14" t="s">
        <v>7</v>
      </c>
      <c r="B44" s="15" t="s">
        <v>8</v>
      </c>
      <c r="C44" s="14" t="s">
        <v>9</v>
      </c>
      <c r="D44" s="15" t="s">
        <v>10</v>
      </c>
      <c r="E44" s="340" t="s">
        <v>11</v>
      </c>
    </row>
    <row r="45" spans="1:5" ht="16.5" customHeight="1" x14ac:dyDescent="0.3">
      <c r="A45" s="17">
        <v>1</v>
      </c>
      <c r="B45" s="18">
        <v>78268858</v>
      </c>
      <c r="C45" s="18">
        <v>3225.47</v>
      </c>
      <c r="D45" s="282">
        <v>1.1200000000000001</v>
      </c>
      <c r="E45" s="341">
        <v>6.53</v>
      </c>
    </row>
    <row r="46" spans="1:5" ht="16.5" customHeight="1" x14ac:dyDescent="0.3">
      <c r="A46" s="17">
        <v>2</v>
      </c>
      <c r="B46" s="18">
        <v>78435621</v>
      </c>
      <c r="C46" s="18">
        <v>3199.84</v>
      </c>
      <c r="D46" s="282">
        <v>1.1200000000000001</v>
      </c>
      <c r="E46" s="284">
        <v>6.52</v>
      </c>
    </row>
    <row r="47" spans="1:5" ht="16.5" customHeight="1" x14ac:dyDescent="0.3">
      <c r="A47" s="17">
        <v>3</v>
      </c>
      <c r="B47" s="18">
        <v>78540076</v>
      </c>
      <c r="C47" s="18">
        <v>3186.5</v>
      </c>
      <c r="D47" s="282">
        <v>1.1299999999999999</v>
      </c>
      <c r="E47" s="284">
        <v>6.52</v>
      </c>
    </row>
    <row r="48" spans="1:5" ht="16.5" customHeight="1" x14ac:dyDescent="0.3">
      <c r="A48" s="17">
        <v>4</v>
      </c>
      <c r="B48" s="18">
        <v>78603257</v>
      </c>
      <c r="C48" s="18">
        <v>3258.91</v>
      </c>
      <c r="D48" s="282">
        <v>1.1200000000000001</v>
      </c>
      <c r="E48" s="284">
        <v>6.54</v>
      </c>
    </row>
    <row r="49" spans="1:6" ht="16.5" customHeight="1" x14ac:dyDescent="0.3">
      <c r="A49" s="17">
        <v>5</v>
      </c>
      <c r="B49" s="18">
        <v>78460769</v>
      </c>
      <c r="C49" s="18">
        <v>3248.06</v>
      </c>
      <c r="D49" s="282">
        <v>1.1200000000000001</v>
      </c>
      <c r="E49" s="284">
        <v>6.53</v>
      </c>
    </row>
    <row r="50" spans="1:6" ht="16.5" customHeight="1" x14ac:dyDescent="0.3">
      <c r="A50" s="17">
        <v>6</v>
      </c>
      <c r="B50" s="19">
        <v>78692672</v>
      </c>
      <c r="C50" s="19">
        <v>3260.99</v>
      </c>
      <c r="D50" s="283">
        <v>1.1100000000000001</v>
      </c>
      <c r="E50" s="342">
        <v>6.57</v>
      </c>
    </row>
    <row r="51" spans="1:6" ht="16.5" customHeight="1" x14ac:dyDescent="0.3">
      <c r="A51" s="20" t="s">
        <v>12</v>
      </c>
      <c r="B51" s="21">
        <f>AVERAGE(B45:B50)</f>
        <v>78500208.833333328</v>
      </c>
      <c r="C51" s="22">
        <f>AVERAGE(C45:C50)</f>
        <v>3229.9616666666661</v>
      </c>
      <c r="D51" s="339">
        <f>AVERAGE(D45:D50)</f>
        <v>1.1200000000000001</v>
      </c>
      <c r="E51" s="343">
        <f>AVERAGE(E45:E50)</f>
        <v>6.5350000000000001</v>
      </c>
    </row>
    <row r="52" spans="1:6" ht="16.5" customHeight="1" x14ac:dyDescent="0.3">
      <c r="A52" s="24" t="s">
        <v>13</v>
      </c>
      <c r="B52" s="25">
        <f>(STDEV(B45:B50)/B51)</f>
        <v>1.8765512143535455E-3</v>
      </c>
      <c r="C52" s="26"/>
      <c r="D52" s="26"/>
      <c r="E52" s="26"/>
    </row>
    <row r="53" spans="1:6" s="2" customFormat="1" ht="16.5" customHeight="1" x14ac:dyDescent="0.3">
      <c r="A53" s="27" t="s">
        <v>14</v>
      </c>
      <c r="B53" s="28">
        <f>COUNT(B45:B50)</f>
        <v>6</v>
      </c>
      <c r="C53" s="29"/>
      <c r="D53" s="30"/>
      <c r="E53" s="47"/>
    </row>
    <row r="54" spans="1:6" s="2" customFormat="1" ht="15.75" customHeight="1" x14ac:dyDescent="0.3">
      <c r="A54" s="10"/>
      <c r="B54" s="10"/>
      <c r="C54" s="10"/>
      <c r="D54" s="10"/>
      <c r="E54" s="46"/>
    </row>
    <row r="55" spans="1:6" s="2" customFormat="1" ht="16.5" customHeight="1" x14ac:dyDescent="0.3">
      <c r="A55" s="11" t="s">
        <v>15</v>
      </c>
      <c r="B55" s="31" t="s">
        <v>16</v>
      </c>
      <c r="C55" s="32"/>
      <c r="D55" s="32"/>
      <c r="E55" s="33"/>
    </row>
    <row r="56" spans="1:6" ht="16.5" customHeight="1" x14ac:dyDescent="0.3">
      <c r="A56" s="11"/>
      <c r="B56" s="31" t="s">
        <v>17</v>
      </c>
      <c r="C56" s="32"/>
      <c r="D56" s="32"/>
      <c r="E56" s="33"/>
    </row>
    <row r="57" spans="1:6" ht="16.5" customHeight="1" x14ac:dyDescent="0.3">
      <c r="A57" s="11"/>
      <c r="B57" s="34" t="s">
        <v>18</v>
      </c>
      <c r="C57" s="32"/>
      <c r="D57" s="33"/>
      <c r="E57" s="33"/>
    </row>
    <row r="58" spans="1:6" ht="14.25" customHeight="1" thickBot="1" x14ac:dyDescent="0.35">
      <c r="A58" s="35"/>
      <c r="B58" s="36"/>
      <c r="D58" s="37"/>
      <c r="E58" s="230"/>
      <c r="F58" s="38"/>
    </row>
    <row r="59" spans="1:6" ht="15" customHeight="1" x14ac:dyDescent="0.3">
      <c r="B59" s="238" t="s">
        <v>19</v>
      </c>
      <c r="C59" s="238"/>
      <c r="D59" s="39" t="s">
        <v>20</v>
      </c>
      <c r="E59" s="39" t="s">
        <v>21</v>
      </c>
    </row>
    <row r="60" spans="1:6" ht="27.75" customHeight="1" x14ac:dyDescent="0.3">
      <c r="A60" s="40" t="s">
        <v>22</v>
      </c>
      <c r="B60" s="41"/>
      <c r="C60" s="41" t="s">
        <v>132</v>
      </c>
      <c r="D60" s="41"/>
      <c r="E60" s="42"/>
    </row>
    <row r="61" spans="1:6" ht="30" customHeight="1" x14ac:dyDescent="0.3">
      <c r="A61" s="40" t="s">
        <v>23</v>
      </c>
      <c r="B61" s="43"/>
      <c r="C61" s="43"/>
      <c r="D61" s="43"/>
      <c r="E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18" workbookViewId="0">
      <selection activeCell="C24" sqref="C24:C43"/>
    </sheetView>
  </sheetViews>
  <sheetFormatPr defaultRowHeight="13.8" x14ac:dyDescent="0.3"/>
  <cols>
    <col min="1" max="1" width="15.5546875" style="287" customWidth="1"/>
    <col min="2" max="2" width="18.44140625" style="287" customWidth="1"/>
    <col min="3" max="3" width="14.33203125" style="287" customWidth="1"/>
    <col min="4" max="4" width="15" style="287" customWidth="1"/>
    <col min="5" max="5" width="9.109375" style="287" customWidth="1"/>
    <col min="6" max="6" width="27.88671875" style="287" customWidth="1"/>
    <col min="7" max="7" width="12.33203125" style="287" customWidth="1"/>
    <col min="8" max="8" width="9.109375" style="287" customWidth="1"/>
    <col min="9" max="16384" width="8.88671875" style="338"/>
  </cols>
  <sheetData>
    <row r="10" spans="1:7" ht="13.5" customHeight="1" thickBot="1" x14ac:dyDescent="0.35"/>
    <row r="11" spans="1:7" ht="13.5" customHeight="1" thickBot="1" x14ac:dyDescent="0.35">
      <c r="A11" s="288" t="s">
        <v>24</v>
      </c>
      <c r="B11" s="289"/>
      <c r="C11" s="289"/>
      <c r="D11" s="289"/>
      <c r="E11" s="289"/>
      <c r="F11" s="290"/>
      <c r="G11" s="291"/>
    </row>
    <row r="12" spans="1:7" ht="16.5" customHeight="1" x14ac:dyDescent="0.3">
      <c r="A12" s="292" t="s">
        <v>25</v>
      </c>
      <c r="B12" s="292"/>
      <c r="C12" s="292"/>
      <c r="D12" s="292"/>
      <c r="E12" s="292"/>
      <c r="F12" s="292"/>
      <c r="G12" s="293"/>
    </row>
    <row r="14" spans="1:7" ht="16.5" customHeight="1" x14ac:dyDescent="0.3">
      <c r="A14" s="294" t="s">
        <v>26</v>
      </c>
      <c r="B14" s="294"/>
      <c r="C14" s="295" t="s">
        <v>124</v>
      </c>
    </row>
    <row r="15" spans="1:7" ht="16.5" customHeight="1" x14ac:dyDescent="0.3">
      <c r="A15" s="294" t="s">
        <v>27</v>
      </c>
      <c r="B15" s="294"/>
      <c r="C15" s="295" t="s">
        <v>125</v>
      </c>
    </row>
    <row r="16" spans="1:7" ht="16.5" customHeight="1" x14ac:dyDescent="0.3">
      <c r="A16" s="294" t="s">
        <v>28</v>
      </c>
      <c r="B16" s="294"/>
      <c r="C16" s="295" t="s">
        <v>126</v>
      </c>
    </row>
    <row r="17" spans="1:5" ht="16.5" customHeight="1" x14ac:dyDescent="0.3">
      <c r="A17" s="294" t="s">
        <v>29</v>
      </c>
      <c r="B17" s="294"/>
      <c r="C17" s="295" t="s">
        <v>127</v>
      </c>
    </row>
    <row r="18" spans="1:5" ht="16.5" customHeight="1" x14ac:dyDescent="0.3">
      <c r="A18" s="294" t="s">
        <v>30</v>
      </c>
      <c r="B18" s="294"/>
      <c r="C18" s="296" t="s">
        <v>128</v>
      </c>
    </row>
    <row r="19" spans="1:5" ht="16.5" customHeight="1" x14ac:dyDescent="0.3">
      <c r="A19" s="294" t="s">
        <v>31</v>
      </c>
      <c r="B19" s="294"/>
      <c r="C19" s="296" t="e">
        <f>#REF!</f>
        <v>#REF!</v>
      </c>
    </row>
    <row r="20" spans="1:5" ht="16.5" customHeight="1" x14ac:dyDescent="0.3">
      <c r="A20" s="297"/>
      <c r="B20" s="297"/>
      <c r="C20" s="298"/>
    </row>
    <row r="21" spans="1:5" ht="16.5" customHeight="1" x14ac:dyDescent="0.3">
      <c r="A21" s="292" t="s">
        <v>1</v>
      </c>
      <c r="B21" s="292"/>
      <c r="C21" s="299" t="s">
        <v>32</v>
      </c>
      <c r="D21" s="300"/>
    </row>
    <row r="22" spans="1:5" ht="15.75" customHeight="1" thickBot="1" x14ac:dyDescent="0.35">
      <c r="A22" s="301"/>
      <c r="B22" s="301"/>
      <c r="C22" s="302"/>
      <c r="D22" s="301"/>
      <c r="E22" s="301"/>
    </row>
    <row r="23" spans="1:5" ht="33.75" customHeight="1" thickBot="1" x14ac:dyDescent="0.35">
      <c r="C23" s="303" t="s">
        <v>33</v>
      </c>
      <c r="D23" s="304" t="s">
        <v>34</v>
      </c>
      <c r="E23" s="305"/>
    </row>
    <row r="24" spans="1:5" ht="15.75" customHeight="1" x14ac:dyDescent="0.3">
      <c r="C24" s="306">
        <v>711.83</v>
      </c>
      <c r="D24" s="307">
        <f t="shared" ref="D24:D43" si="0">(C24-$C$46)/$C$46</f>
        <v>2.7921521398364763E-2</v>
      </c>
      <c r="E24" s="308"/>
    </row>
    <row r="25" spans="1:5" ht="15.75" customHeight="1" x14ac:dyDescent="0.3">
      <c r="C25" s="306">
        <v>696.58</v>
      </c>
      <c r="D25" s="309">
        <f t="shared" si="0"/>
        <v>5.8996858458802348E-3</v>
      </c>
      <c r="E25" s="308"/>
    </row>
    <row r="26" spans="1:5" ht="15.75" customHeight="1" x14ac:dyDescent="0.3">
      <c r="C26" s="306">
        <v>684.18</v>
      </c>
      <c r="D26" s="309">
        <f t="shared" si="0"/>
        <v>-1.2006593554172891E-2</v>
      </c>
      <c r="E26" s="308"/>
    </row>
    <row r="27" spans="1:5" ht="15.75" customHeight="1" x14ac:dyDescent="0.3">
      <c r="C27" s="306">
        <v>693.35</v>
      </c>
      <c r="D27" s="309">
        <f t="shared" si="0"/>
        <v>1.2353888731244688E-3</v>
      </c>
      <c r="E27" s="308"/>
    </row>
    <row r="28" spans="1:5" ht="15.75" customHeight="1" x14ac:dyDescent="0.3">
      <c r="C28" s="306">
        <v>698.34</v>
      </c>
      <c r="D28" s="309">
        <f t="shared" si="0"/>
        <v>8.4412222768554847E-3</v>
      </c>
      <c r="E28" s="308"/>
    </row>
    <row r="29" spans="1:5" ht="15.75" customHeight="1" x14ac:dyDescent="0.3">
      <c r="C29" s="306">
        <v>691.39</v>
      </c>
      <c r="D29" s="309">
        <f t="shared" si="0"/>
        <v>-1.594958515916218E-3</v>
      </c>
      <c r="E29" s="308"/>
    </row>
    <row r="30" spans="1:5" ht="15.75" customHeight="1" x14ac:dyDescent="0.3">
      <c r="C30" s="306">
        <v>711.82</v>
      </c>
      <c r="D30" s="309">
        <f t="shared" si="0"/>
        <v>2.7907080850461508E-2</v>
      </c>
      <c r="E30" s="308"/>
    </row>
    <row r="31" spans="1:5" ht="15.75" customHeight="1" x14ac:dyDescent="0.3">
      <c r="C31" s="306">
        <v>693.48</v>
      </c>
      <c r="D31" s="309">
        <f t="shared" si="0"/>
        <v>1.4231159958669533E-3</v>
      </c>
      <c r="E31" s="308"/>
    </row>
    <row r="32" spans="1:5" ht="15.75" customHeight="1" x14ac:dyDescent="0.3">
      <c r="C32" s="306">
        <v>702.11</v>
      </c>
      <c r="D32" s="309">
        <f t="shared" si="0"/>
        <v>1.3885308836387699E-2</v>
      </c>
      <c r="E32" s="308"/>
    </row>
    <row r="33" spans="1:7" ht="15.75" customHeight="1" x14ac:dyDescent="0.3">
      <c r="C33" s="306">
        <v>681.76</v>
      </c>
      <c r="D33" s="309">
        <f t="shared" si="0"/>
        <v>-1.5501206146763818E-2</v>
      </c>
      <c r="E33" s="308"/>
    </row>
    <row r="34" spans="1:7" ht="15.75" customHeight="1" x14ac:dyDescent="0.3">
      <c r="C34" s="306">
        <v>701.51</v>
      </c>
      <c r="D34" s="309">
        <f t="shared" si="0"/>
        <v>1.3018875962191555E-2</v>
      </c>
      <c r="E34" s="308"/>
    </row>
    <row r="35" spans="1:7" ht="15.75" customHeight="1" x14ac:dyDescent="0.3">
      <c r="C35" s="306">
        <v>671.91</v>
      </c>
      <c r="D35" s="309">
        <f t="shared" si="0"/>
        <v>-2.9725145831483366E-2</v>
      </c>
      <c r="E35" s="308"/>
    </row>
    <row r="36" spans="1:7" ht="15.75" customHeight="1" x14ac:dyDescent="0.3">
      <c r="C36" s="306">
        <v>667.11</v>
      </c>
      <c r="D36" s="309">
        <f t="shared" si="0"/>
        <v>-3.66566088250522E-2</v>
      </c>
      <c r="E36" s="308"/>
    </row>
    <row r="37" spans="1:7" ht="15.75" customHeight="1" x14ac:dyDescent="0.3">
      <c r="C37" s="306">
        <v>702.71</v>
      </c>
      <c r="D37" s="309">
        <f t="shared" si="0"/>
        <v>1.4751741710583846E-2</v>
      </c>
      <c r="E37" s="308"/>
    </row>
    <row r="38" spans="1:7" ht="15.75" customHeight="1" x14ac:dyDescent="0.3">
      <c r="C38" s="306">
        <v>678.86</v>
      </c>
      <c r="D38" s="309">
        <f t="shared" si="0"/>
        <v>-1.9688965038711662E-2</v>
      </c>
      <c r="E38" s="308"/>
    </row>
    <row r="39" spans="1:7" ht="15.75" customHeight="1" x14ac:dyDescent="0.3">
      <c r="C39" s="306">
        <v>694.75</v>
      </c>
      <c r="D39" s="309">
        <f t="shared" si="0"/>
        <v>3.2570655795820321E-3</v>
      </c>
      <c r="E39" s="308"/>
    </row>
    <row r="40" spans="1:7" ht="15.75" customHeight="1" x14ac:dyDescent="0.3">
      <c r="C40" s="306">
        <v>696.08</v>
      </c>
      <c r="D40" s="309">
        <f t="shared" si="0"/>
        <v>5.1776584507168075E-3</v>
      </c>
      <c r="E40" s="308"/>
    </row>
    <row r="41" spans="1:7" ht="15.75" customHeight="1" x14ac:dyDescent="0.3">
      <c r="C41" s="306">
        <v>686.86</v>
      </c>
      <c r="D41" s="309">
        <f t="shared" si="0"/>
        <v>-8.1365267160968292E-3</v>
      </c>
      <c r="E41" s="308"/>
    </row>
    <row r="42" spans="1:7" ht="15.75" customHeight="1" x14ac:dyDescent="0.3">
      <c r="C42" s="306">
        <v>688.98</v>
      </c>
      <c r="D42" s="309">
        <f t="shared" si="0"/>
        <v>-5.0751305606038912E-3</v>
      </c>
      <c r="E42" s="308"/>
    </row>
    <row r="43" spans="1:7" ht="16.5" customHeight="1" thickBot="1" x14ac:dyDescent="0.35">
      <c r="C43" s="310">
        <v>696.28</v>
      </c>
      <c r="D43" s="311">
        <f t="shared" si="0"/>
        <v>5.4664694087820801E-3</v>
      </c>
      <c r="E43" s="308"/>
    </row>
    <row r="44" spans="1:7" ht="16.5" customHeight="1" thickBot="1" x14ac:dyDescent="0.35">
      <c r="C44" s="312"/>
      <c r="D44" s="308"/>
      <c r="E44" s="313"/>
    </row>
    <row r="45" spans="1:7" ht="16.5" customHeight="1" thickBot="1" x14ac:dyDescent="0.35">
      <c r="B45" s="314" t="s">
        <v>35</v>
      </c>
      <c r="C45" s="315">
        <f>SUM(C24:C44)</f>
        <v>13849.890000000003</v>
      </c>
      <c r="D45" s="316"/>
      <c r="E45" s="312"/>
    </row>
    <row r="46" spans="1:7" ht="17.25" customHeight="1" thickBot="1" x14ac:dyDescent="0.35">
      <c r="B46" s="314" t="s">
        <v>36</v>
      </c>
      <c r="C46" s="317">
        <f>AVERAGE(C24:C44)</f>
        <v>692.49450000000013</v>
      </c>
      <c r="E46" s="318"/>
    </row>
    <row r="47" spans="1:7" ht="17.25" customHeight="1" thickBot="1" x14ac:dyDescent="0.35">
      <c r="A47" s="295"/>
      <c r="B47" s="319"/>
      <c r="D47" s="320"/>
      <c r="E47" s="318"/>
    </row>
    <row r="48" spans="1:7" ht="33.75" customHeight="1" thickBot="1" x14ac:dyDescent="0.35">
      <c r="B48" s="321" t="s">
        <v>36</v>
      </c>
      <c r="C48" s="304" t="s">
        <v>37</v>
      </c>
      <c r="D48" s="322"/>
      <c r="G48" s="320"/>
    </row>
    <row r="49" spans="1:6" ht="17.25" customHeight="1" thickBot="1" x14ac:dyDescent="0.35">
      <c r="B49" s="323">
        <f>C46</f>
        <v>692.49450000000013</v>
      </c>
      <c r="C49" s="324">
        <f>-IF(C46&lt;=80,10%,IF(C46&lt;250,7.5%,5%))</f>
        <v>-0.05</v>
      </c>
      <c r="D49" s="325">
        <f>IF(C46&lt;=80,C46*0.9,IF(C46&lt;250,C46*0.925,C46*0.95))</f>
        <v>657.86977500000012</v>
      </c>
    </row>
    <row r="50" spans="1:6" ht="17.25" customHeight="1" thickBot="1" x14ac:dyDescent="0.35">
      <c r="B50" s="326"/>
      <c r="C50" s="327">
        <f>IF(C46&lt;=80, 10%, IF(C46&lt;250, 7.5%, 5%))</f>
        <v>0.05</v>
      </c>
      <c r="D50" s="325">
        <f>IF(C46&lt;=80, C46*1.1, IF(C46&lt;250, C46*1.075, C46*1.05))</f>
        <v>727.11922500000014</v>
      </c>
    </row>
    <row r="51" spans="1:6" ht="16.5" customHeight="1" thickBot="1" x14ac:dyDescent="0.35">
      <c r="A51" s="328"/>
      <c r="B51" s="329"/>
      <c r="C51" s="295"/>
      <c r="D51" s="330"/>
      <c r="E51" s="295"/>
      <c r="F51" s="300"/>
    </row>
    <row r="52" spans="1:6" ht="16.5" customHeight="1" x14ac:dyDescent="0.3">
      <c r="A52" s="295"/>
      <c r="B52" s="331" t="s">
        <v>19</v>
      </c>
      <c r="C52" s="331"/>
      <c r="D52" s="332" t="s">
        <v>20</v>
      </c>
      <c r="E52" s="333"/>
      <c r="F52" s="332" t="s">
        <v>21</v>
      </c>
    </row>
    <row r="53" spans="1:6" ht="34.5" customHeight="1" x14ac:dyDescent="0.3">
      <c r="A53" s="297" t="s">
        <v>22</v>
      </c>
      <c r="B53" s="334"/>
      <c r="C53" s="295"/>
      <c r="D53" s="334"/>
      <c r="E53" s="295"/>
      <c r="F53" s="334"/>
    </row>
    <row r="54" spans="1:6" ht="34.5" customHeight="1" x14ac:dyDescent="0.3">
      <c r="A54" s="297" t="s">
        <v>23</v>
      </c>
      <c r="B54" s="335"/>
      <c r="C54" s="336"/>
      <c r="D54" s="335"/>
      <c r="E54" s="295"/>
      <c r="F54" s="337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65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64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63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62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61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60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59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58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57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56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55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54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53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52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51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0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9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48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47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46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45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opLeftCell="B55" zoomScale="60" zoomScaleNormal="60" zoomScalePageLayoutView="55" workbookViewId="0">
      <selection activeCell="I60" sqref="I60:I71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267" t="s">
        <v>113</v>
      </c>
      <c r="B1" s="267"/>
      <c r="C1" s="267"/>
      <c r="D1" s="267"/>
      <c r="E1" s="267"/>
      <c r="F1" s="267"/>
      <c r="G1" s="267"/>
      <c r="H1" s="267"/>
      <c r="I1" s="267"/>
    </row>
    <row r="2" spans="1:9" ht="18.75" customHeight="1" x14ac:dyDescent="0.3">
      <c r="A2" s="267"/>
      <c r="B2" s="267"/>
      <c r="C2" s="267"/>
      <c r="D2" s="267"/>
      <c r="E2" s="267"/>
      <c r="F2" s="267"/>
      <c r="G2" s="267"/>
      <c r="H2" s="267"/>
      <c r="I2" s="267"/>
    </row>
    <row r="3" spans="1:9" ht="18.75" customHeight="1" x14ac:dyDescent="0.3">
      <c r="A3" s="267"/>
      <c r="B3" s="267"/>
      <c r="C3" s="267"/>
      <c r="D3" s="267"/>
      <c r="E3" s="267"/>
      <c r="F3" s="267"/>
      <c r="G3" s="267"/>
      <c r="H3" s="267"/>
      <c r="I3" s="267"/>
    </row>
    <row r="4" spans="1:9" ht="18.75" customHeight="1" x14ac:dyDescent="0.3">
      <c r="A4" s="267"/>
      <c r="B4" s="267"/>
      <c r="C4" s="267"/>
      <c r="D4" s="267"/>
      <c r="E4" s="267"/>
      <c r="F4" s="267"/>
      <c r="G4" s="267"/>
      <c r="H4" s="267"/>
      <c r="I4" s="267"/>
    </row>
    <row r="5" spans="1:9" ht="18.75" customHeight="1" x14ac:dyDescent="0.3">
      <c r="A5" s="267"/>
      <c r="B5" s="267"/>
      <c r="C5" s="267"/>
      <c r="D5" s="267"/>
      <c r="E5" s="267"/>
      <c r="F5" s="267"/>
      <c r="G5" s="267"/>
      <c r="H5" s="267"/>
      <c r="I5" s="267"/>
    </row>
    <row r="6" spans="1:9" ht="18.75" customHeight="1" x14ac:dyDescent="0.3">
      <c r="A6" s="267"/>
      <c r="B6" s="267"/>
      <c r="C6" s="267"/>
      <c r="D6" s="267"/>
      <c r="E6" s="267"/>
      <c r="F6" s="267"/>
      <c r="G6" s="267"/>
      <c r="H6" s="267"/>
      <c r="I6" s="267"/>
    </row>
    <row r="7" spans="1:9" ht="18.75" customHeight="1" x14ac:dyDescent="0.3">
      <c r="A7" s="267"/>
      <c r="B7" s="267"/>
      <c r="C7" s="267"/>
      <c r="D7" s="267"/>
      <c r="E7" s="267"/>
      <c r="F7" s="267"/>
      <c r="G7" s="267"/>
      <c r="H7" s="267"/>
      <c r="I7" s="267"/>
    </row>
    <row r="8" spans="1:9" x14ac:dyDescent="0.3">
      <c r="A8" s="268" t="s">
        <v>114</v>
      </c>
      <c r="B8" s="268"/>
      <c r="C8" s="268"/>
      <c r="D8" s="268"/>
      <c r="E8" s="268"/>
      <c r="F8" s="268"/>
      <c r="G8" s="268"/>
      <c r="H8" s="268"/>
      <c r="I8" s="268"/>
    </row>
    <row r="9" spans="1:9" x14ac:dyDescent="0.3">
      <c r="A9" s="268"/>
      <c r="B9" s="268"/>
      <c r="C9" s="268"/>
      <c r="D9" s="268"/>
      <c r="E9" s="268"/>
      <c r="F9" s="268"/>
      <c r="G9" s="268"/>
      <c r="H9" s="268"/>
      <c r="I9" s="268"/>
    </row>
    <row r="10" spans="1:9" x14ac:dyDescent="0.3">
      <c r="A10" s="268"/>
      <c r="B10" s="268"/>
      <c r="C10" s="268"/>
      <c r="D10" s="268"/>
      <c r="E10" s="268"/>
      <c r="F10" s="268"/>
      <c r="G10" s="268"/>
      <c r="H10" s="268"/>
      <c r="I10" s="268"/>
    </row>
    <row r="11" spans="1:9" x14ac:dyDescent="0.3">
      <c r="A11" s="268"/>
      <c r="B11" s="268"/>
      <c r="C11" s="268"/>
      <c r="D11" s="268"/>
      <c r="E11" s="268"/>
      <c r="F11" s="268"/>
      <c r="G11" s="268"/>
      <c r="H11" s="268"/>
      <c r="I11" s="268"/>
    </row>
    <row r="12" spans="1:9" x14ac:dyDescent="0.3">
      <c r="A12" s="268"/>
      <c r="B12" s="268"/>
      <c r="C12" s="268"/>
      <c r="D12" s="268"/>
      <c r="E12" s="268"/>
      <c r="F12" s="268"/>
      <c r="G12" s="268"/>
      <c r="H12" s="268"/>
      <c r="I12" s="268"/>
    </row>
    <row r="13" spans="1:9" x14ac:dyDescent="0.3">
      <c r="A13" s="268"/>
      <c r="B13" s="268"/>
      <c r="C13" s="268"/>
      <c r="D13" s="268"/>
      <c r="E13" s="268"/>
      <c r="F13" s="268"/>
      <c r="G13" s="268"/>
      <c r="H13" s="268"/>
      <c r="I13" s="268"/>
    </row>
    <row r="14" spans="1:9" x14ac:dyDescent="0.3">
      <c r="A14" s="268"/>
      <c r="B14" s="268"/>
      <c r="C14" s="268"/>
      <c r="D14" s="268"/>
      <c r="E14" s="268"/>
      <c r="F14" s="268"/>
      <c r="G14" s="268"/>
      <c r="H14" s="268"/>
      <c r="I14" s="268"/>
    </row>
    <row r="15" spans="1:9" ht="19.5" customHeight="1" x14ac:dyDescent="0.35">
      <c r="A15" s="48"/>
    </row>
    <row r="16" spans="1:9" ht="19.5" customHeight="1" x14ac:dyDescent="0.35">
      <c r="A16" s="240" t="s">
        <v>24</v>
      </c>
      <c r="B16" s="241"/>
      <c r="C16" s="241"/>
      <c r="D16" s="241"/>
      <c r="E16" s="241"/>
      <c r="F16" s="241"/>
      <c r="G16" s="241"/>
      <c r="H16" s="242"/>
    </row>
    <row r="17" spans="1:14" ht="20.25" customHeight="1" x14ac:dyDescent="0.3">
      <c r="A17" s="243" t="s">
        <v>38</v>
      </c>
      <c r="B17" s="243"/>
      <c r="C17" s="243"/>
      <c r="D17" s="243"/>
      <c r="E17" s="243"/>
      <c r="F17" s="243"/>
      <c r="G17" s="243"/>
      <c r="H17" s="243"/>
    </row>
    <row r="18" spans="1:14" ht="26.25" customHeight="1" x14ac:dyDescent="0.5">
      <c r="A18" s="50" t="s">
        <v>26</v>
      </c>
      <c r="B18" s="239" t="s">
        <v>118</v>
      </c>
      <c r="C18" s="239"/>
      <c r="D18" s="216"/>
      <c r="E18" s="51"/>
      <c r="F18" s="52"/>
      <c r="G18" s="52"/>
      <c r="H18" s="52"/>
    </row>
    <row r="19" spans="1:14" ht="26.25" customHeight="1" x14ac:dyDescent="0.5">
      <c r="A19" s="50" t="s">
        <v>27</v>
      </c>
      <c r="B19" s="53" t="s">
        <v>120</v>
      </c>
      <c r="C19" s="229">
        <v>29</v>
      </c>
      <c r="D19" s="52"/>
      <c r="E19" s="52"/>
      <c r="F19" s="52"/>
      <c r="G19" s="52"/>
      <c r="H19" s="52"/>
    </row>
    <row r="20" spans="1:14" ht="26.25" customHeight="1" x14ac:dyDescent="0.5">
      <c r="A20" s="50" t="s">
        <v>28</v>
      </c>
      <c r="B20" s="244" t="s">
        <v>119</v>
      </c>
      <c r="C20" s="244"/>
      <c r="D20" s="52"/>
      <c r="E20" s="52"/>
      <c r="F20" s="52"/>
      <c r="G20" s="52"/>
      <c r="H20" s="52"/>
    </row>
    <row r="21" spans="1:14" ht="26.25" customHeight="1" x14ac:dyDescent="0.5">
      <c r="A21" s="50" t="s">
        <v>29</v>
      </c>
      <c r="B21" s="244" t="s">
        <v>121</v>
      </c>
      <c r="C21" s="244"/>
      <c r="D21" s="244"/>
      <c r="E21" s="244"/>
      <c r="F21" s="244"/>
      <c r="G21" s="244"/>
      <c r="H21" s="244"/>
      <c r="I21" s="54"/>
    </row>
    <row r="22" spans="1:14" ht="26.25" customHeight="1" x14ac:dyDescent="0.5">
      <c r="A22" s="50" t="s">
        <v>30</v>
      </c>
      <c r="B22" s="55"/>
      <c r="C22" s="52"/>
      <c r="D22" s="52"/>
      <c r="E22" s="52"/>
      <c r="F22" s="52"/>
      <c r="G22" s="52"/>
      <c r="H22" s="52"/>
    </row>
    <row r="23" spans="1:14" ht="26.25" customHeight="1" x14ac:dyDescent="0.5">
      <c r="A23" s="50" t="s">
        <v>31</v>
      </c>
      <c r="B23" s="55"/>
      <c r="C23" s="52"/>
      <c r="D23" s="52"/>
      <c r="E23" s="52"/>
      <c r="F23" s="52"/>
      <c r="G23" s="52"/>
      <c r="H23" s="52"/>
    </row>
    <row r="24" spans="1:14" ht="18" x14ac:dyDescent="0.35">
      <c r="A24" s="50"/>
      <c r="B24" s="56"/>
    </row>
    <row r="25" spans="1:14" ht="18" x14ac:dyDescent="0.35">
      <c r="A25" s="57" t="s">
        <v>1</v>
      </c>
      <c r="B25" s="56"/>
    </row>
    <row r="26" spans="1:14" ht="26.25" customHeight="1" x14ac:dyDescent="0.45">
      <c r="A26" s="58" t="s">
        <v>3</v>
      </c>
      <c r="B26" s="239" t="s">
        <v>122</v>
      </c>
      <c r="C26" s="239"/>
    </row>
    <row r="27" spans="1:14" ht="26.25" customHeight="1" x14ac:dyDescent="0.5">
      <c r="A27" s="59" t="s">
        <v>39</v>
      </c>
      <c r="B27" s="245" t="s">
        <v>123</v>
      </c>
      <c r="C27" s="245"/>
    </row>
    <row r="28" spans="1:14" ht="27" customHeight="1" x14ac:dyDescent="0.45">
      <c r="A28" s="59" t="s">
        <v>4</v>
      </c>
      <c r="B28" s="60">
        <v>99.6</v>
      </c>
    </row>
    <row r="29" spans="1:14" s="14" customFormat="1" ht="27" customHeight="1" x14ac:dyDescent="0.5">
      <c r="A29" s="59" t="s">
        <v>40</v>
      </c>
      <c r="B29" s="61">
        <v>0</v>
      </c>
      <c r="C29" s="246" t="s">
        <v>41</v>
      </c>
      <c r="D29" s="247"/>
      <c r="E29" s="247"/>
      <c r="F29" s="247"/>
      <c r="G29" s="248"/>
      <c r="I29" s="62"/>
      <c r="J29" s="62"/>
      <c r="K29" s="62"/>
      <c r="L29" s="62"/>
    </row>
    <row r="30" spans="1:14" s="14" customFormat="1" ht="19.5" customHeight="1" x14ac:dyDescent="0.35">
      <c r="A30" s="59" t="s">
        <v>42</v>
      </c>
      <c r="B30" s="63">
        <f>B28-B29</f>
        <v>99.6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4" customFormat="1" ht="27" customHeight="1" x14ac:dyDescent="0.45">
      <c r="A31" s="59" t="s">
        <v>43</v>
      </c>
      <c r="B31" s="66">
        <v>1</v>
      </c>
      <c r="C31" s="249" t="s">
        <v>44</v>
      </c>
      <c r="D31" s="250"/>
      <c r="E31" s="250"/>
      <c r="F31" s="250"/>
      <c r="G31" s="250"/>
      <c r="H31" s="251"/>
      <c r="I31" s="62"/>
      <c r="J31" s="62"/>
      <c r="K31" s="62"/>
      <c r="L31" s="62"/>
    </row>
    <row r="32" spans="1:14" s="14" customFormat="1" ht="27" customHeight="1" x14ac:dyDescent="0.45">
      <c r="A32" s="59" t="s">
        <v>45</v>
      </c>
      <c r="B32" s="66">
        <v>1</v>
      </c>
      <c r="C32" s="249" t="s">
        <v>46</v>
      </c>
      <c r="D32" s="250"/>
      <c r="E32" s="250"/>
      <c r="F32" s="250"/>
      <c r="G32" s="250"/>
      <c r="H32" s="251"/>
      <c r="I32" s="62"/>
      <c r="J32" s="62"/>
      <c r="K32" s="62"/>
      <c r="L32" s="67"/>
      <c r="M32" s="67"/>
      <c r="N32" s="68"/>
    </row>
    <row r="33" spans="1:14" s="14" customFormat="1" ht="17.25" customHeight="1" x14ac:dyDescent="0.35">
      <c r="A33" s="59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4" customFormat="1" ht="18" x14ac:dyDescent="0.35">
      <c r="A34" s="59" t="s">
        <v>47</v>
      </c>
      <c r="B34" s="71">
        <f>B31/B32</f>
        <v>1</v>
      </c>
      <c r="C34" s="49" t="s">
        <v>48</v>
      </c>
      <c r="D34" s="49"/>
      <c r="E34" s="49"/>
      <c r="F34" s="49"/>
      <c r="G34" s="49"/>
      <c r="H34" s="176"/>
      <c r="I34" s="62"/>
      <c r="J34" s="62"/>
      <c r="K34" s="62"/>
      <c r="L34" s="67"/>
      <c r="M34" s="67"/>
      <c r="N34" s="68"/>
    </row>
    <row r="35" spans="1:14" s="14" customFormat="1" ht="19.5" customHeight="1" x14ac:dyDescent="0.35">
      <c r="A35" s="59"/>
      <c r="B35" s="63"/>
      <c r="G35" s="49"/>
      <c r="H35" s="176"/>
      <c r="I35" s="62"/>
      <c r="J35" s="62"/>
      <c r="K35" s="62"/>
      <c r="L35" s="67"/>
      <c r="M35" s="67"/>
      <c r="N35" s="68"/>
    </row>
    <row r="36" spans="1:14" s="14" customFormat="1" ht="27" customHeight="1" x14ac:dyDescent="0.45">
      <c r="A36" s="72" t="s">
        <v>49</v>
      </c>
      <c r="B36" s="73">
        <v>20</v>
      </c>
      <c r="C36" s="49"/>
      <c r="D36" s="252" t="s">
        <v>50</v>
      </c>
      <c r="E36" s="253"/>
      <c r="F36" s="252" t="s">
        <v>51</v>
      </c>
      <c r="G36" s="254"/>
      <c r="H36" s="176"/>
      <c r="J36" s="62"/>
      <c r="K36" s="62"/>
      <c r="L36" s="67"/>
      <c r="M36" s="67"/>
      <c r="N36" s="68"/>
    </row>
    <row r="37" spans="1:14" s="14" customFormat="1" ht="27" customHeight="1" x14ac:dyDescent="0.45">
      <c r="A37" s="74" t="s">
        <v>52</v>
      </c>
      <c r="B37" s="75">
        <v>10</v>
      </c>
      <c r="C37" s="76" t="s">
        <v>53</v>
      </c>
      <c r="D37" s="77" t="s">
        <v>54</v>
      </c>
      <c r="E37" s="78" t="s">
        <v>55</v>
      </c>
      <c r="F37" s="77" t="s">
        <v>54</v>
      </c>
      <c r="G37" s="79" t="s">
        <v>55</v>
      </c>
      <c r="H37" s="176"/>
      <c r="I37" s="80" t="s">
        <v>56</v>
      </c>
      <c r="J37" s="62"/>
      <c r="K37" s="62"/>
      <c r="L37" s="67"/>
      <c r="M37" s="67"/>
      <c r="N37" s="68"/>
    </row>
    <row r="38" spans="1:14" s="14" customFormat="1" ht="26.25" customHeight="1" x14ac:dyDescent="0.45">
      <c r="A38" s="74" t="s">
        <v>57</v>
      </c>
      <c r="B38" s="75">
        <v>50</v>
      </c>
      <c r="C38" s="81">
        <v>1</v>
      </c>
      <c r="D38" s="82">
        <v>25632663</v>
      </c>
      <c r="E38" s="83">
        <f>IF(ISBLANK(D38),"-",$D$48/$D$45*D38)</f>
        <v>25010306.532251462</v>
      </c>
      <c r="F38" s="82">
        <v>21684198</v>
      </c>
      <c r="G38" s="84">
        <f>IF(ISBLANK(F38),"-",$D$48/$F$45*F38)</f>
        <v>25154573.232270505</v>
      </c>
      <c r="H38" s="176"/>
      <c r="I38" s="85"/>
      <c r="J38" s="62"/>
      <c r="K38" s="62"/>
      <c r="L38" s="67"/>
      <c r="M38" s="67"/>
      <c r="N38" s="68"/>
    </row>
    <row r="39" spans="1:14" s="14" customFormat="1" ht="26.25" customHeight="1" x14ac:dyDescent="0.45">
      <c r="A39" s="74" t="s">
        <v>58</v>
      </c>
      <c r="B39" s="75">
        <v>1</v>
      </c>
      <c r="C39" s="86">
        <v>2</v>
      </c>
      <c r="D39" s="87">
        <v>25668430</v>
      </c>
      <c r="E39" s="88">
        <f>IF(ISBLANK(D39),"-",$D$48/$D$45*D39)</f>
        <v>25045205.11589605</v>
      </c>
      <c r="F39" s="87">
        <v>21734134</v>
      </c>
      <c r="G39" s="89">
        <f>IF(ISBLANK(F39),"-",$D$48/$F$45*F39)</f>
        <v>25212501.073038545</v>
      </c>
      <c r="H39" s="176"/>
      <c r="I39" s="347">
        <f>ABS((F43/D43*D42)-F42)/D42</f>
        <v>4.1333990391439731E-3</v>
      </c>
      <c r="J39" s="62"/>
      <c r="K39" s="62"/>
      <c r="L39" s="67"/>
      <c r="M39" s="67"/>
      <c r="N39" s="68"/>
    </row>
    <row r="40" spans="1:14" ht="26.25" customHeight="1" x14ac:dyDescent="0.45">
      <c r="A40" s="74" t="s">
        <v>59</v>
      </c>
      <c r="B40" s="75">
        <v>1</v>
      </c>
      <c r="C40" s="86">
        <v>3</v>
      </c>
      <c r="D40" s="87">
        <v>25761623</v>
      </c>
      <c r="E40" s="88">
        <f>IF(ISBLANK(D40),"-",$D$48/$D$45*D40)</f>
        <v>25136135.406543575</v>
      </c>
      <c r="F40" s="87">
        <v>21718256</v>
      </c>
      <c r="G40" s="89">
        <f>IF(ISBLANK(F40),"-",$D$48/$F$45*F40)</f>
        <v>25194081.931422979</v>
      </c>
      <c r="I40" s="347"/>
      <c r="L40" s="67"/>
      <c r="M40" s="67"/>
      <c r="N40" s="90"/>
    </row>
    <row r="41" spans="1:14" ht="27" customHeight="1" x14ac:dyDescent="0.45">
      <c r="A41" s="74" t="s">
        <v>60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7"/>
      <c r="M41" s="67"/>
      <c r="N41" s="90"/>
    </row>
    <row r="42" spans="1:14" ht="27" customHeight="1" x14ac:dyDescent="0.45">
      <c r="A42" s="74" t="s">
        <v>61</v>
      </c>
      <c r="B42" s="75">
        <v>1</v>
      </c>
      <c r="C42" s="96" t="s">
        <v>62</v>
      </c>
      <c r="D42" s="97">
        <f>AVERAGE(D38:D41)</f>
        <v>25687572</v>
      </c>
      <c r="E42" s="98">
        <f>AVERAGE(E38:E41)</f>
        <v>25063882.351563692</v>
      </c>
      <c r="F42" s="97">
        <f>AVERAGE(F38:F41)</f>
        <v>21712196</v>
      </c>
      <c r="G42" s="99">
        <f>AVERAGE(G38:G41)</f>
        <v>25187052.078910679</v>
      </c>
      <c r="H42" s="100"/>
    </row>
    <row r="43" spans="1:14" ht="26.25" customHeight="1" x14ac:dyDescent="0.45">
      <c r="A43" s="74" t="s">
        <v>63</v>
      </c>
      <c r="B43" s="75">
        <v>1</v>
      </c>
      <c r="C43" s="101" t="s">
        <v>64</v>
      </c>
      <c r="D43" s="102">
        <v>20.58</v>
      </c>
      <c r="E43" s="90"/>
      <c r="F43" s="102">
        <v>17.309999999999999</v>
      </c>
      <c r="H43" s="100"/>
    </row>
    <row r="44" spans="1:14" ht="26.25" customHeight="1" x14ac:dyDescent="0.45">
      <c r="A44" s="74" t="s">
        <v>65</v>
      </c>
      <c r="B44" s="75">
        <v>1</v>
      </c>
      <c r="C44" s="103" t="s">
        <v>66</v>
      </c>
      <c r="D44" s="104">
        <f>D43*$B$34</f>
        <v>20.58</v>
      </c>
      <c r="E44" s="105"/>
      <c r="F44" s="104">
        <f>F43*$B$34</f>
        <v>17.309999999999999</v>
      </c>
      <c r="H44" s="100"/>
    </row>
    <row r="45" spans="1:14" ht="19.5" customHeight="1" x14ac:dyDescent="0.35">
      <c r="A45" s="74" t="s">
        <v>67</v>
      </c>
      <c r="B45" s="106">
        <f>(B44/B43)*(B42/B41)*(B40/B39)*(B38/B37)*B36</f>
        <v>100</v>
      </c>
      <c r="C45" s="103" t="s">
        <v>68</v>
      </c>
      <c r="D45" s="107">
        <f>D44*$B$30/100</f>
        <v>20.497679999999995</v>
      </c>
      <c r="E45" s="108"/>
      <c r="F45" s="107">
        <f>F44*$B$30/100</f>
        <v>17.240759999999998</v>
      </c>
      <c r="H45" s="100"/>
    </row>
    <row r="46" spans="1:14" ht="19.5" customHeight="1" x14ac:dyDescent="0.35">
      <c r="A46" s="257" t="s">
        <v>69</v>
      </c>
      <c r="B46" s="258"/>
      <c r="C46" s="103" t="s">
        <v>70</v>
      </c>
      <c r="D46" s="109">
        <f>D45/$B$45</f>
        <v>0.20497679999999996</v>
      </c>
      <c r="E46" s="110"/>
      <c r="F46" s="111">
        <f>F45/$B$45</f>
        <v>0.17240759999999999</v>
      </c>
      <c r="H46" s="100"/>
    </row>
    <row r="47" spans="1:14" ht="27" customHeight="1" x14ac:dyDescent="0.45">
      <c r="A47" s="259"/>
      <c r="B47" s="260"/>
      <c r="C47" s="112" t="s">
        <v>71</v>
      </c>
      <c r="D47" s="113">
        <v>0.2</v>
      </c>
      <c r="E47" s="114"/>
      <c r="F47" s="110"/>
      <c r="H47" s="100"/>
    </row>
    <row r="48" spans="1:14" ht="18" x14ac:dyDescent="0.35">
      <c r="C48" s="115" t="s">
        <v>72</v>
      </c>
      <c r="D48" s="107">
        <f>D47*$B$45</f>
        <v>20</v>
      </c>
      <c r="F48" s="116"/>
      <c r="H48" s="100"/>
    </row>
    <row r="49" spans="1:12" ht="19.5" customHeight="1" x14ac:dyDescent="0.35">
      <c r="C49" s="117" t="s">
        <v>73</v>
      </c>
      <c r="D49" s="118">
        <f>D48/B34</f>
        <v>20</v>
      </c>
      <c r="F49" s="116"/>
      <c r="H49" s="100"/>
    </row>
    <row r="50" spans="1:12" ht="18" x14ac:dyDescent="0.35">
      <c r="C50" s="72" t="s">
        <v>74</v>
      </c>
      <c r="D50" s="119">
        <f>AVERAGE(E38:E41,G38:G41)</f>
        <v>25125467.215237185</v>
      </c>
      <c r="F50" s="120"/>
      <c r="H50" s="100"/>
    </row>
    <row r="51" spans="1:12" ht="18" x14ac:dyDescent="0.35">
      <c r="C51" s="74" t="s">
        <v>75</v>
      </c>
      <c r="D51" s="121">
        <f>STDEV(E38:E41,G38:G41)/D50</f>
        <v>3.2308311229971554E-3</v>
      </c>
      <c r="F51" s="120"/>
      <c r="H51" s="100"/>
    </row>
    <row r="52" spans="1:12" ht="19.5" customHeight="1" x14ac:dyDescent="0.35">
      <c r="C52" s="122" t="s">
        <v>14</v>
      </c>
      <c r="D52" s="123">
        <f>COUNT(E38:E41,G38:G41)</f>
        <v>6</v>
      </c>
      <c r="F52" s="120"/>
    </row>
    <row r="54" spans="1:12" ht="18" x14ac:dyDescent="0.35">
      <c r="A54" s="124" t="s">
        <v>1</v>
      </c>
      <c r="B54" s="125" t="s">
        <v>76</v>
      </c>
    </row>
    <row r="55" spans="1:12" ht="18" x14ac:dyDescent="0.35">
      <c r="A55" s="49" t="s">
        <v>77</v>
      </c>
      <c r="B55" s="126" t="str">
        <f>B21</f>
        <v>Each chewable tablet contains Albendazole 200 mg</v>
      </c>
      <c r="G55" s="281"/>
    </row>
    <row r="56" spans="1:12" ht="26.25" customHeight="1" x14ac:dyDescent="0.45">
      <c r="A56" s="127" t="s">
        <v>115</v>
      </c>
      <c r="B56" s="128">
        <v>200</v>
      </c>
      <c r="C56" s="49" t="str">
        <f>B26</f>
        <v>ALBENDAZOLE</v>
      </c>
      <c r="H56" s="129"/>
    </row>
    <row r="57" spans="1:12" ht="24" customHeight="1" x14ac:dyDescent="0.35">
      <c r="A57" s="126" t="s">
        <v>116</v>
      </c>
      <c r="B57" s="217">
        <f>Uniformity!C46</f>
        <v>692.49450000000013</v>
      </c>
      <c r="H57" s="129"/>
    </row>
    <row r="58" spans="1:12" ht="19.5" customHeight="1" thickBot="1" x14ac:dyDescent="0.4">
      <c r="H58" s="129"/>
    </row>
    <row r="59" spans="1:12" s="14" customFormat="1" ht="27" customHeight="1" thickBot="1" x14ac:dyDescent="0.5">
      <c r="A59" s="72" t="s">
        <v>78</v>
      </c>
      <c r="B59" s="73">
        <v>50</v>
      </c>
      <c r="C59" s="49"/>
      <c r="D59" s="130" t="s">
        <v>79</v>
      </c>
      <c r="E59" s="131" t="s">
        <v>53</v>
      </c>
      <c r="F59" s="131" t="s">
        <v>54</v>
      </c>
      <c r="G59" s="131" t="s">
        <v>80</v>
      </c>
      <c r="H59" s="232" t="s">
        <v>137</v>
      </c>
      <c r="I59" s="232" t="s">
        <v>134</v>
      </c>
      <c r="J59" s="350" t="s">
        <v>135</v>
      </c>
      <c r="K59" s="176"/>
      <c r="L59" s="62"/>
    </row>
    <row r="60" spans="1:12" s="14" customFormat="1" ht="26.25" customHeight="1" x14ac:dyDescent="0.45">
      <c r="A60" s="74" t="s">
        <v>82</v>
      </c>
      <c r="B60" s="75">
        <v>5</v>
      </c>
      <c r="C60" s="261" t="s">
        <v>83</v>
      </c>
      <c r="D60" s="264">
        <v>279.47000000000003</v>
      </c>
      <c r="E60" s="132">
        <v>1</v>
      </c>
      <c r="F60" s="133">
        <v>14998270</v>
      </c>
      <c r="G60" s="218">
        <f>IF(ISBLANK(F60),"-",(F60/$D$50*$D$47*$B$68)*($B$57/$D$60))</f>
        <v>147.91361615791953</v>
      </c>
      <c r="H60" s="348">
        <f>IF(ISBLANK(E60),"-",F60/$B$56)</f>
        <v>74991.350000000006</v>
      </c>
      <c r="I60" s="348">
        <f>IF(ISBLANK(F60),"-",G60/$B$56)</f>
        <v>0.73956808078959768</v>
      </c>
      <c r="J60" s="351"/>
      <c r="K60" s="176"/>
      <c r="L60" s="62"/>
    </row>
    <row r="61" spans="1:12" s="14" customFormat="1" ht="26.25" customHeight="1" x14ac:dyDescent="0.45">
      <c r="A61" s="74" t="s">
        <v>84</v>
      </c>
      <c r="B61" s="75">
        <v>50</v>
      </c>
      <c r="C61" s="262"/>
      <c r="D61" s="265"/>
      <c r="E61" s="135">
        <v>2</v>
      </c>
      <c r="F61" s="87">
        <v>15072090</v>
      </c>
      <c r="G61" s="219">
        <f>IF(ISBLANK(F61),"-",(F61/$D$50*$D$47*$B$68)*($B$57/$D$60))</f>
        <v>148.64163233210346</v>
      </c>
      <c r="H61" s="349">
        <f>IF(ISBLANK(E61),"-",F61/$B$56)</f>
        <v>75360.45</v>
      </c>
      <c r="I61" s="349">
        <f>IF(ISBLANK(F61),"-",G61/$B$56)</f>
        <v>0.74320816166051729</v>
      </c>
      <c r="J61" s="351"/>
      <c r="K61" s="176"/>
      <c r="L61" s="62"/>
    </row>
    <row r="62" spans="1:12" s="14" customFormat="1" ht="26.25" customHeight="1" x14ac:dyDescent="0.45">
      <c r="A62" s="74" t="s">
        <v>85</v>
      </c>
      <c r="B62" s="75">
        <v>1</v>
      </c>
      <c r="C62" s="262"/>
      <c r="D62" s="265"/>
      <c r="E62" s="135">
        <v>3</v>
      </c>
      <c r="F62" s="137">
        <v>15155174</v>
      </c>
      <c r="G62" s="219">
        <f>IF(ISBLANK(F62),"-",(F62/$D$50*$D$47*$B$68)*($B$57/$D$60))</f>
        <v>149.46101049270897</v>
      </c>
      <c r="H62" s="349">
        <f>IF(ISBLANK(E62),"-",F62/$B$56)</f>
        <v>75775.87</v>
      </c>
      <c r="I62" s="349">
        <f>IF(ISBLANK(F62),"-",G62/$B$56)</f>
        <v>0.74730505246354484</v>
      </c>
      <c r="J62" s="351"/>
      <c r="K62" s="176"/>
      <c r="L62" s="62"/>
    </row>
    <row r="63" spans="1:12" ht="27" customHeight="1" thickBot="1" x14ac:dyDescent="0.5">
      <c r="A63" s="74" t="s">
        <v>86</v>
      </c>
      <c r="B63" s="75">
        <v>1</v>
      </c>
      <c r="C63" s="263"/>
      <c r="D63" s="266"/>
      <c r="E63" s="138">
        <v>4</v>
      </c>
      <c r="F63" s="139"/>
      <c r="G63" s="219" t="str">
        <f>IF(ISBLANK(F63),"-",(F63/$D$50*$D$47*$B$68)*($B$57/$D$60))</f>
        <v>-</v>
      </c>
      <c r="H63" s="349">
        <f>IF(ISBLANK(E63),"-",F63/$B$56)</f>
        <v>0</v>
      </c>
      <c r="I63" s="349" t="str">
        <f>IF(ISBLANK(F63),"-",G63/$B$56)</f>
        <v>-</v>
      </c>
      <c r="J63" s="352"/>
      <c r="K63" s="176"/>
    </row>
    <row r="64" spans="1:12" ht="26.25" customHeight="1" x14ac:dyDescent="0.45">
      <c r="A64" s="74" t="s">
        <v>87</v>
      </c>
      <c r="B64" s="75">
        <v>1</v>
      </c>
      <c r="C64" s="261" t="s">
        <v>88</v>
      </c>
      <c r="D64" s="264">
        <v>299.05</v>
      </c>
      <c r="E64" s="132">
        <v>1</v>
      </c>
      <c r="F64" s="133">
        <v>16340362</v>
      </c>
      <c r="G64" s="220">
        <f>IF(ISBLANK(F64),"-",(F64/$D$50*$D$47*$B$68)*($B$57/$D$64))</f>
        <v>150.59829288261756</v>
      </c>
      <c r="H64" s="353">
        <f>IF(ISBLANK(E64),"-",F64/$B$56)</f>
        <v>81701.81</v>
      </c>
      <c r="I64" s="353">
        <f>IF(ISBLANK(F64),"-",G64/$B$56)</f>
        <v>0.75299146441308773</v>
      </c>
      <c r="J64" s="356"/>
      <c r="K64" s="176"/>
    </row>
    <row r="65" spans="1:10" ht="26.25" customHeight="1" x14ac:dyDescent="0.45">
      <c r="A65" s="74" t="s">
        <v>89</v>
      </c>
      <c r="B65" s="75">
        <v>1</v>
      </c>
      <c r="C65" s="262"/>
      <c r="D65" s="265"/>
      <c r="E65" s="135">
        <v>2</v>
      </c>
      <c r="F65" s="87">
        <v>16424744</v>
      </c>
      <c r="G65" s="221">
        <f>IF(ISBLANK(F65),"-",(F65/$D$50*$D$47*$B$68)*($B$57/$D$64))</f>
        <v>151.37598588293304</v>
      </c>
      <c r="H65" s="354">
        <f>IF(ISBLANK(E65),"-",F65/$B$56)</f>
        <v>82123.72</v>
      </c>
      <c r="I65" s="354">
        <f>IF(ISBLANK(F65),"-",G65/$B$56)</f>
        <v>0.7568799294146652</v>
      </c>
      <c r="J65" s="351"/>
    </row>
    <row r="66" spans="1:10" ht="26.25" customHeight="1" x14ac:dyDescent="0.45">
      <c r="A66" s="74" t="s">
        <v>90</v>
      </c>
      <c r="B66" s="75">
        <v>1</v>
      </c>
      <c r="C66" s="262"/>
      <c r="D66" s="265"/>
      <c r="E66" s="135">
        <v>3</v>
      </c>
      <c r="F66" s="87">
        <v>16477747</v>
      </c>
      <c r="G66" s="221">
        <f>IF(ISBLANK(F66),"-",(F66/$D$50*$D$47*$B$68)*($B$57/$D$64))</f>
        <v>151.86447942534397</v>
      </c>
      <c r="H66" s="354">
        <f>IF(ISBLANK(E66),"-",F66/$B$56)</f>
        <v>82388.735000000001</v>
      </c>
      <c r="I66" s="354">
        <f>IF(ISBLANK(F66),"-",G66/$B$56)</f>
        <v>0.75932239712671989</v>
      </c>
      <c r="J66" s="351"/>
    </row>
    <row r="67" spans="1:10" ht="27" customHeight="1" thickBot="1" x14ac:dyDescent="0.5">
      <c r="A67" s="74" t="s">
        <v>91</v>
      </c>
      <c r="B67" s="75">
        <v>1</v>
      </c>
      <c r="C67" s="263"/>
      <c r="D67" s="266"/>
      <c r="E67" s="138">
        <v>4</v>
      </c>
      <c r="F67" s="139"/>
      <c r="G67" s="222" t="str">
        <f>IF(ISBLANK(F67),"-",(F67/$D$50*$D$47*$B$68)*($B$57/$D$64))</f>
        <v>-</v>
      </c>
      <c r="H67" s="355">
        <f>IF(ISBLANK(E67),"-",F67/$B$56)</f>
        <v>0</v>
      </c>
      <c r="I67" s="355" t="str">
        <f>IF(ISBLANK(F67),"-",G67/$B$56)</f>
        <v>-</v>
      </c>
      <c r="J67" s="352"/>
    </row>
    <row r="68" spans="1:10" ht="26.25" customHeight="1" x14ac:dyDescent="0.5">
      <c r="A68" s="74" t="s">
        <v>92</v>
      </c>
      <c r="B68" s="143">
        <f>(B67/B66)*(B65/B64)*(B63/B62)*(B61/B60)*B59</f>
        <v>500</v>
      </c>
      <c r="C68" s="261" t="s">
        <v>93</v>
      </c>
      <c r="D68" s="264">
        <v>294.14999999999998</v>
      </c>
      <c r="E68" s="132">
        <v>1</v>
      </c>
      <c r="F68" s="133">
        <v>16374875</v>
      </c>
      <c r="G68" s="220">
        <f>IF(ISBLANK(F68),"-",(F68/$D$50*$D$47*$B$68)*($B$57/$D$68))</f>
        <v>153.43036663353149</v>
      </c>
      <c r="H68" s="349">
        <f>IF(ISBLANK(E68),"-",F68/$B$56)</f>
        <v>81874.375</v>
      </c>
      <c r="I68" s="349">
        <f>IF(ISBLANK(F68),"-",G68/$B$56)</f>
        <v>0.76715183316765745</v>
      </c>
      <c r="J68" s="356"/>
    </row>
    <row r="69" spans="1:10" ht="27" customHeight="1" thickBot="1" x14ac:dyDescent="0.55000000000000004">
      <c r="A69" s="122" t="s">
        <v>94</v>
      </c>
      <c r="B69" s="144">
        <f>(D47*B68)/B56*B57</f>
        <v>346.24725000000007</v>
      </c>
      <c r="C69" s="262"/>
      <c r="D69" s="265"/>
      <c r="E69" s="135">
        <v>2</v>
      </c>
      <c r="F69" s="87">
        <v>16467743</v>
      </c>
      <c r="G69" s="221">
        <f>IF(ISBLANK(F69),"-",(F69/$D$50*$D$47*$B$68)*($B$57/$D$68))</f>
        <v>154.30052724779711</v>
      </c>
      <c r="H69" s="349">
        <f>IF(ISBLANK(E69),"-",F69/$B$56)</f>
        <v>82338.714999999997</v>
      </c>
      <c r="I69" s="349">
        <f>IF(ISBLANK(F69),"-",G69/$B$56)</f>
        <v>0.77150263623898552</v>
      </c>
      <c r="J69" s="351"/>
    </row>
    <row r="70" spans="1:10" ht="26.25" customHeight="1" x14ac:dyDescent="0.45">
      <c r="A70" s="274" t="s">
        <v>69</v>
      </c>
      <c r="B70" s="275"/>
      <c r="C70" s="262"/>
      <c r="D70" s="265"/>
      <c r="E70" s="135">
        <v>3</v>
      </c>
      <c r="F70" s="87">
        <v>16427775</v>
      </c>
      <c r="G70" s="221">
        <f>IF(ISBLANK(F70),"-",(F70/$D$50*$D$47*$B$68)*($B$57/$D$68))</f>
        <v>153.92603248715866</v>
      </c>
      <c r="H70" s="349">
        <f>IF(ISBLANK(E70),"-",F70/$B$56)</f>
        <v>82138.875</v>
      </c>
      <c r="I70" s="349">
        <f>IF(ISBLANK(F70),"-",G70/$B$56)</f>
        <v>0.7696301624357933</v>
      </c>
      <c r="J70" s="351"/>
    </row>
    <row r="71" spans="1:10" ht="27" customHeight="1" thickBot="1" x14ac:dyDescent="0.5">
      <c r="A71" s="276"/>
      <c r="B71" s="277"/>
      <c r="C71" s="273"/>
      <c r="D71" s="266"/>
      <c r="E71" s="138">
        <v>4</v>
      </c>
      <c r="F71" s="139"/>
      <c r="G71" s="222" t="str">
        <f>IF(ISBLANK(F71),"-",(F71/$D$50*$D$47*$B$68)*($B$57/$D$68))</f>
        <v>-</v>
      </c>
      <c r="H71" s="357">
        <f>IF(ISBLANK(E71),"-",F71/$B$56)</f>
        <v>0</v>
      </c>
      <c r="I71" s="357" t="str">
        <f>IF(ISBLANK(F71),"-",G71/$B$56)</f>
        <v>-</v>
      </c>
      <c r="J71" s="352"/>
    </row>
    <row r="72" spans="1:10" ht="26.25" customHeight="1" x14ac:dyDescent="0.45">
      <c r="A72" s="146"/>
      <c r="B72" s="146"/>
      <c r="C72" s="146"/>
      <c r="D72" s="146"/>
      <c r="E72" s="146"/>
      <c r="F72" s="148" t="s">
        <v>62</v>
      </c>
      <c r="G72" s="227">
        <f>AVERAGE(G60:G71)</f>
        <v>151.27910483801264</v>
      </c>
      <c r="H72" s="149">
        <f>AVERAGE(H60:H71)</f>
        <v>59891.158333333326</v>
      </c>
      <c r="I72" s="149">
        <f>AVERAGE(I60:I71)</f>
        <v>0.75639552419006328</v>
      </c>
      <c r="J72" s="149" t="e">
        <f>AVERAGE(J60:J71)</f>
        <v>#DIV/0!</v>
      </c>
    </row>
    <row r="73" spans="1:10" ht="26.25" customHeight="1" x14ac:dyDescent="0.45">
      <c r="C73" s="146"/>
      <c r="D73" s="146"/>
      <c r="E73" s="146"/>
      <c r="F73" s="150" t="s">
        <v>75</v>
      </c>
      <c r="G73" s="223">
        <f>STDEV(G60:G71)/G72</f>
        <v>1.5355066750660288E-2</v>
      </c>
      <c r="H73" s="223">
        <f>STDEV(H60:H71)/H72</f>
        <v>0.60493063722293638</v>
      </c>
      <c r="I73" s="223">
        <f>STDEV(I60:I71)/I72</f>
        <v>1.5355066750660278E-2</v>
      </c>
      <c r="J73" s="223" t="e">
        <f>STDEV(J60:J71)/J72</f>
        <v>#DIV/0!</v>
      </c>
    </row>
    <row r="74" spans="1:10" ht="27" customHeight="1" thickBot="1" x14ac:dyDescent="0.5">
      <c r="A74" s="146"/>
      <c r="B74" s="146"/>
      <c r="C74" s="147"/>
      <c r="D74" s="147"/>
      <c r="E74" s="151"/>
      <c r="F74" s="152" t="s">
        <v>14</v>
      </c>
      <c r="G74" s="153">
        <f>COUNT(G60:G71)</f>
        <v>9</v>
      </c>
      <c r="H74" s="153">
        <f>COUNT(H60:H71)</f>
        <v>12</v>
      </c>
      <c r="I74" s="153">
        <f>COUNT(I60:I71)</f>
        <v>9</v>
      </c>
      <c r="J74" s="153">
        <f>COUNT(J60:J71)</f>
        <v>0</v>
      </c>
    </row>
    <row r="76" spans="1:10" ht="26.25" customHeight="1" x14ac:dyDescent="0.45">
      <c r="A76" s="58" t="s">
        <v>95</v>
      </c>
      <c r="B76" s="154" t="s">
        <v>96</v>
      </c>
      <c r="C76" s="269" t="str">
        <f>B20</f>
        <v>Albendazole</v>
      </c>
      <c r="D76" s="269"/>
      <c r="E76" s="155" t="s">
        <v>97</v>
      </c>
      <c r="F76" s="155"/>
      <c r="G76" s="156">
        <f>I72</f>
        <v>0.75639552419006328</v>
      </c>
      <c r="H76" s="157"/>
    </row>
    <row r="77" spans="1:10" ht="18" x14ac:dyDescent="0.35">
      <c r="A77" s="57" t="s">
        <v>98</v>
      </c>
      <c r="B77" s="57" t="s">
        <v>99</v>
      </c>
    </row>
    <row r="78" spans="1:10" ht="18" x14ac:dyDescent="0.35">
      <c r="A78" s="57"/>
      <c r="B78" s="57"/>
    </row>
    <row r="79" spans="1:10" ht="26.25" customHeight="1" x14ac:dyDescent="0.45">
      <c r="A79" s="58" t="s">
        <v>3</v>
      </c>
      <c r="B79" s="255" t="str">
        <f>B26</f>
        <v>ALBENDAZOLE</v>
      </c>
      <c r="C79" s="255"/>
    </row>
    <row r="80" spans="1:10" ht="26.25" customHeight="1" x14ac:dyDescent="0.45">
      <c r="A80" s="59" t="s">
        <v>39</v>
      </c>
      <c r="B80" s="255" t="str">
        <f>B27</f>
        <v>NQCL/PRS/A16-1</v>
      </c>
      <c r="C80" s="255"/>
    </row>
    <row r="81" spans="1:12" ht="27" customHeight="1" x14ac:dyDescent="0.45">
      <c r="A81" s="59" t="s">
        <v>4</v>
      </c>
      <c r="B81" s="158">
        <f>B28</f>
        <v>99.6</v>
      </c>
    </row>
    <row r="82" spans="1:12" s="14" customFormat="1" ht="27" customHeight="1" x14ac:dyDescent="0.5">
      <c r="A82" s="59" t="s">
        <v>40</v>
      </c>
      <c r="B82" s="61">
        <v>0</v>
      </c>
      <c r="C82" s="246" t="s">
        <v>41</v>
      </c>
      <c r="D82" s="247"/>
      <c r="E82" s="247"/>
      <c r="F82" s="247"/>
      <c r="G82" s="248"/>
      <c r="I82" s="62"/>
      <c r="J82" s="62"/>
      <c r="K82" s="62"/>
      <c r="L82" s="62"/>
    </row>
    <row r="83" spans="1:12" s="14" customFormat="1" ht="19.5" customHeight="1" x14ac:dyDescent="0.35">
      <c r="A83" s="59" t="s">
        <v>42</v>
      </c>
      <c r="B83" s="63">
        <f>B81-B82</f>
        <v>99.6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4" customFormat="1" ht="27" customHeight="1" x14ac:dyDescent="0.45">
      <c r="A84" s="59" t="s">
        <v>43</v>
      </c>
      <c r="B84" s="66">
        <v>1</v>
      </c>
      <c r="C84" s="249" t="s">
        <v>100</v>
      </c>
      <c r="D84" s="250"/>
      <c r="E84" s="250"/>
      <c r="F84" s="250"/>
      <c r="G84" s="250"/>
      <c r="H84" s="251"/>
      <c r="I84" s="62"/>
      <c r="J84" s="62"/>
      <c r="K84" s="62"/>
      <c r="L84" s="62"/>
    </row>
    <row r="85" spans="1:12" s="14" customFormat="1" ht="27" customHeight="1" x14ac:dyDescent="0.45">
      <c r="A85" s="59" t="s">
        <v>45</v>
      </c>
      <c r="B85" s="66">
        <v>1</v>
      </c>
      <c r="C85" s="249" t="s">
        <v>101</v>
      </c>
      <c r="D85" s="250"/>
      <c r="E85" s="250"/>
      <c r="F85" s="250"/>
      <c r="G85" s="250"/>
      <c r="H85" s="251"/>
      <c r="I85" s="62"/>
      <c r="J85" s="62"/>
      <c r="K85" s="62"/>
      <c r="L85" s="62"/>
    </row>
    <row r="86" spans="1:12" s="14" customFormat="1" ht="18" x14ac:dyDescent="0.35">
      <c r="A86" s="59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4" customFormat="1" ht="18" x14ac:dyDescent="0.35">
      <c r="A87" s="59" t="s">
        <v>47</v>
      </c>
      <c r="B87" s="71">
        <f>B84/B85</f>
        <v>1</v>
      </c>
      <c r="C87" s="49" t="s">
        <v>48</v>
      </c>
      <c r="D87" s="49"/>
      <c r="E87" s="49"/>
      <c r="F87" s="49"/>
      <c r="G87" s="49"/>
      <c r="I87" s="62"/>
      <c r="J87" s="62"/>
      <c r="K87" s="62"/>
      <c r="L87" s="62"/>
    </row>
    <row r="88" spans="1:12" ht="19.5" customHeight="1" x14ac:dyDescent="0.35">
      <c r="A88" s="57"/>
      <c r="B88" s="57"/>
    </row>
    <row r="89" spans="1:12" ht="27" customHeight="1" x14ac:dyDescent="0.45">
      <c r="A89" s="72" t="s">
        <v>49</v>
      </c>
      <c r="B89" s="73">
        <v>20</v>
      </c>
      <c r="D89" s="159" t="s">
        <v>50</v>
      </c>
      <c r="E89" s="160"/>
      <c r="F89" s="252" t="s">
        <v>51</v>
      </c>
      <c r="G89" s="254"/>
    </row>
    <row r="90" spans="1:12" ht="27" customHeight="1" x14ac:dyDescent="0.45">
      <c r="A90" s="74" t="s">
        <v>52</v>
      </c>
      <c r="B90" s="75">
        <v>2</v>
      </c>
      <c r="C90" s="161" t="s">
        <v>129</v>
      </c>
      <c r="D90" s="77" t="s">
        <v>54</v>
      </c>
      <c r="E90" s="78" t="s">
        <v>55</v>
      </c>
      <c r="F90" s="77" t="s">
        <v>54</v>
      </c>
      <c r="G90" s="162" t="s">
        <v>55</v>
      </c>
      <c r="I90" s="80" t="s">
        <v>56</v>
      </c>
    </row>
    <row r="91" spans="1:12" ht="26.25" customHeight="1" x14ac:dyDescent="0.45">
      <c r="A91" s="74" t="s">
        <v>57</v>
      </c>
      <c r="B91" s="75">
        <v>250</v>
      </c>
      <c r="C91" s="163">
        <v>1</v>
      </c>
      <c r="D91" s="82"/>
      <c r="E91" s="83" t="str">
        <f>IF(ISBLANK(D91),"-",$D$101/$D$98*D91)</f>
        <v>-</v>
      </c>
      <c r="F91" s="82"/>
      <c r="G91" s="84" t="str">
        <f>IF(ISBLANK(F91),"-",$D$101/$F$98*F91)</f>
        <v>-</v>
      </c>
      <c r="I91" s="85"/>
    </row>
    <row r="92" spans="1:12" ht="26.25" customHeight="1" x14ac:dyDescent="0.45">
      <c r="A92" s="74" t="s">
        <v>58</v>
      </c>
      <c r="B92" s="75">
        <v>1</v>
      </c>
      <c r="C92" s="147">
        <v>2</v>
      </c>
      <c r="D92" s="87"/>
      <c r="E92" s="88" t="str">
        <f>IF(ISBLANK(D92),"-",$D$101/$D$98*D92)</f>
        <v>-</v>
      </c>
      <c r="F92" s="87"/>
      <c r="G92" s="89" t="str">
        <f>IF(ISBLANK(F92),"-",$D$101/$F$98*F92)</f>
        <v>-</v>
      </c>
      <c r="I92" s="256" t="e">
        <f>ABS((F96/D96*D95)-F95)/D95</f>
        <v>#DIV/0!</v>
      </c>
    </row>
    <row r="93" spans="1:12" ht="26.25" customHeight="1" x14ac:dyDescent="0.45">
      <c r="A93" s="74" t="s">
        <v>59</v>
      </c>
      <c r="B93" s="75">
        <v>1</v>
      </c>
      <c r="C93" s="147">
        <v>3</v>
      </c>
      <c r="D93" s="87"/>
      <c r="E93" s="88" t="str">
        <f>IF(ISBLANK(D93),"-",$D$101/$D$98*D93)</f>
        <v>-</v>
      </c>
      <c r="F93" s="87"/>
      <c r="G93" s="89" t="str">
        <f>IF(ISBLANK(F93),"-",$D$101/$F$98*F93)</f>
        <v>-</v>
      </c>
      <c r="I93" s="256"/>
    </row>
    <row r="94" spans="1:12" ht="27" customHeight="1" x14ac:dyDescent="0.45">
      <c r="A94" s="74" t="s">
        <v>60</v>
      </c>
      <c r="B94" s="75">
        <v>1</v>
      </c>
      <c r="C94" s="164">
        <v>4</v>
      </c>
      <c r="D94" s="92"/>
      <c r="E94" s="93" t="str">
        <f>IF(ISBLANK(D94),"-",$D$101/$D$98*D94)</f>
        <v>-</v>
      </c>
      <c r="F94" s="285"/>
      <c r="G94" s="94" t="str">
        <f>IF(ISBLANK(F94),"-",$D$101/$F$98*F94)</f>
        <v>-</v>
      </c>
      <c r="I94" s="95"/>
    </row>
    <row r="95" spans="1:12" ht="27" customHeight="1" x14ac:dyDescent="0.45">
      <c r="A95" s="74" t="s">
        <v>61</v>
      </c>
      <c r="B95" s="75">
        <v>1</v>
      </c>
      <c r="C95" s="165" t="s">
        <v>62</v>
      </c>
      <c r="D95" s="166" t="e">
        <f>AVERAGE(D91:D94)</f>
        <v>#DIV/0!</v>
      </c>
      <c r="E95" s="98" t="e">
        <f>AVERAGE(E91:E94)</f>
        <v>#DIV/0!</v>
      </c>
      <c r="F95" s="167" t="e">
        <f>AVERAGE(F91:F94)</f>
        <v>#DIV/0!</v>
      </c>
      <c r="G95" s="168" t="e">
        <f>AVERAGE(G91:G94)</f>
        <v>#DIV/0!</v>
      </c>
    </row>
    <row r="96" spans="1:12" ht="26.25" customHeight="1" x14ac:dyDescent="0.45">
      <c r="A96" s="74" t="s">
        <v>63</v>
      </c>
      <c r="B96" s="60">
        <v>1</v>
      </c>
      <c r="C96" s="169" t="s">
        <v>102</v>
      </c>
      <c r="D96" s="170">
        <v>27.65</v>
      </c>
      <c r="E96" s="90"/>
      <c r="F96" s="102">
        <v>25.57</v>
      </c>
    </row>
    <row r="97" spans="1:10" ht="26.25" customHeight="1" x14ac:dyDescent="0.45">
      <c r="A97" s="74" t="s">
        <v>65</v>
      </c>
      <c r="B97" s="60">
        <v>1</v>
      </c>
      <c r="C97" s="171" t="s">
        <v>103</v>
      </c>
      <c r="D97" s="172">
        <f>D96*$B$87</f>
        <v>27.65</v>
      </c>
      <c r="E97" s="105"/>
      <c r="F97" s="104">
        <f>F96*$B$87</f>
        <v>25.57</v>
      </c>
    </row>
    <row r="98" spans="1:10" ht="19.5" customHeight="1" x14ac:dyDescent="0.35">
      <c r="A98" s="74" t="s">
        <v>67</v>
      </c>
      <c r="B98" s="173">
        <f>(B97/B96)*(B95/B94)*(B93/B92)*(B91/B90)*B89</f>
        <v>2500</v>
      </c>
      <c r="C98" s="171" t="s">
        <v>104</v>
      </c>
      <c r="D98" s="174">
        <f>D97*$B$83/100</f>
        <v>27.539399999999997</v>
      </c>
      <c r="E98" s="108"/>
      <c r="F98" s="107">
        <f>F97*$B$83/100</f>
        <v>25.46772</v>
      </c>
    </row>
    <row r="99" spans="1:10" ht="19.5" customHeight="1" x14ac:dyDescent="0.35">
      <c r="A99" s="257" t="s">
        <v>69</v>
      </c>
      <c r="B99" s="271"/>
      <c r="C99" s="171" t="s">
        <v>105</v>
      </c>
      <c r="D99" s="175">
        <f>D98/$B$98</f>
        <v>1.1015759999999999E-2</v>
      </c>
      <c r="E99" s="108"/>
      <c r="F99" s="111">
        <f>F98/$B$98</f>
        <v>1.0187088E-2</v>
      </c>
      <c r="G99" s="176"/>
      <c r="H99" s="100"/>
    </row>
    <row r="100" spans="1:10" ht="19.5" customHeight="1" x14ac:dyDescent="0.35">
      <c r="A100" s="259"/>
      <c r="B100" s="272"/>
      <c r="C100" s="171" t="s">
        <v>71</v>
      </c>
      <c r="D100" s="177">
        <f>$B$56/$B$116</f>
        <v>4.4444444444444444E-3</v>
      </c>
      <c r="F100" s="116"/>
      <c r="G100" s="178"/>
      <c r="H100" s="100"/>
    </row>
    <row r="101" spans="1:10" ht="18" x14ac:dyDescent="0.35">
      <c r="C101" s="171" t="s">
        <v>72</v>
      </c>
      <c r="D101" s="172">
        <f>D100*$B$98</f>
        <v>11.111111111111111</v>
      </c>
      <c r="F101" s="116"/>
      <c r="G101" s="176"/>
      <c r="H101" s="100"/>
    </row>
    <row r="102" spans="1:10" ht="19.5" customHeight="1" x14ac:dyDescent="0.35">
      <c r="C102" s="179" t="s">
        <v>73</v>
      </c>
      <c r="D102" s="180">
        <f>D101/B34</f>
        <v>11.111111111111111</v>
      </c>
      <c r="F102" s="120"/>
      <c r="G102" s="176"/>
      <c r="H102" s="100"/>
      <c r="J102" s="181"/>
    </row>
    <row r="103" spans="1:10" ht="18" x14ac:dyDescent="0.35">
      <c r="C103" s="182" t="s">
        <v>106</v>
      </c>
      <c r="D103" s="183" t="e">
        <f>AVERAGE(E91:E94,G91:G94)</f>
        <v>#DIV/0!</v>
      </c>
      <c r="F103" s="120"/>
      <c r="G103" s="184"/>
      <c r="H103" s="100"/>
      <c r="J103" s="185"/>
    </row>
    <row r="104" spans="1:10" ht="18" x14ac:dyDescent="0.35">
      <c r="C104" s="150" t="s">
        <v>75</v>
      </c>
      <c r="D104" s="186" t="e">
        <f>STDEV(E91:E94,G91:G94)/D103</f>
        <v>#DIV/0!</v>
      </c>
      <c r="F104" s="120"/>
      <c r="G104" s="176"/>
      <c r="H104" s="100"/>
      <c r="J104" s="185"/>
    </row>
    <row r="105" spans="1:10" ht="19.5" customHeight="1" x14ac:dyDescent="0.35">
      <c r="C105" s="152" t="s">
        <v>14</v>
      </c>
      <c r="D105" s="187">
        <f>COUNT(E91:E94,G91:G94)</f>
        <v>0</v>
      </c>
      <c r="F105" s="120"/>
      <c r="G105" s="286" t="e">
        <f>D113/D103*D100*B116/B56</f>
        <v>#DIV/0!</v>
      </c>
      <c r="H105" s="100"/>
      <c r="J105" s="185"/>
    </row>
    <row r="106" spans="1:10" ht="19.5" customHeight="1" x14ac:dyDescent="0.35">
      <c r="A106" s="124"/>
      <c r="B106" s="124"/>
      <c r="C106" s="124"/>
      <c r="D106" s="124"/>
      <c r="E106" s="124"/>
    </row>
    <row r="107" spans="1:10" ht="26.25" customHeight="1" x14ac:dyDescent="0.45">
      <c r="A107" s="72" t="s">
        <v>107</v>
      </c>
      <c r="B107" s="73">
        <v>900</v>
      </c>
      <c r="C107" s="188" t="s">
        <v>117</v>
      </c>
      <c r="D107" s="189" t="s">
        <v>54</v>
      </c>
      <c r="E107" s="190" t="s">
        <v>108</v>
      </c>
      <c r="F107" s="191" t="s">
        <v>109</v>
      </c>
    </row>
    <row r="108" spans="1:10" ht="26.25" customHeight="1" x14ac:dyDescent="0.45">
      <c r="A108" s="74" t="s">
        <v>110</v>
      </c>
      <c r="B108" s="75">
        <v>2</v>
      </c>
      <c r="C108" s="192">
        <v>1</v>
      </c>
      <c r="D108" s="193"/>
      <c r="E108" s="224" t="str">
        <f t="shared" ref="E108:E113" si="0">IF(ISBLANK(D108),"-",D108/$D$103*$D$100*$B$116)</f>
        <v>-</v>
      </c>
      <c r="F108" s="194" t="str">
        <f t="shared" ref="F108:F113" si="1">IF(ISBLANK(D108), "-", E108/$B$56)</f>
        <v>-</v>
      </c>
    </row>
    <row r="109" spans="1:10" ht="26.25" customHeight="1" x14ac:dyDescent="0.45">
      <c r="A109" s="74" t="s">
        <v>84</v>
      </c>
      <c r="B109" s="75">
        <v>100</v>
      </c>
      <c r="C109" s="192">
        <v>2</v>
      </c>
      <c r="D109" s="193"/>
      <c r="E109" s="225" t="str">
        <f t="shared" si="0"/>
        <v>-</v>
      </c>
      <c r="F109" s="195" t="str">
        <f t="shared" si="1"/>
        <v>-</v>
      </c>
    </row>
    <row r="110" spans="1:10" ht="26.25" customHeight="1" x14ac:dyDescent="0.45">
      <c r="A110" s="74" t="s">
        <v>85</v>
      </c>
      <c r="B110" s="75">
        <v>1</v>
      </c>
      <c r="C110" s="192">
        <v>3</v>
      </c>
      <c r="D110" s="193"/>
      <c r="E110" s="225" t="str">
        <f t="shared" si="0"/>
        <v>-</v>
      </c>
      <c r="F110" s="195" t="str">
        <f t="shared" si="1"/>
        <v>-</v>
      </c>
    </row>
    <row r="111" spans="1:10" ht="26.25" customHeight="1" x14ac:dyDescent="0.45">
      <c r="A111" s="74" t="s">
        <v>86</v>
      </c>
      <c r="B111" s="75">
        <v>1</v>
      </c>
      <c r="C111" s="192">
        <v>4</v>
      </c>
      <c r="D111" s="193"/>
      <c r="E111" s="225" t="str">
        <f t="shared" si="0"/>
        <v>-</v>
      </c>
      <c r="F111" s="195" t="str">
        <f t="shared" si="1"/>
        <v>-</v>
      </c>
    </row>
    <row r="112" spans="1:10" ht="26.25" customHeight="1" x14ac:dyDescent="0.45">
      <c r="A112" s="74" t="s">
        <v>87</v>
      </c>
      <c r="B112" s="75">
        <v>1</v>
      </c>
      <c r="C112" s="192">
        <v>5</v>
      </c>
      <c r="D112" s="193"/>
      <c r="E112" s="225" t="str">
        <f t="shared" si="0"/>
        <v>-</v>
      </c>
      <c r="F112" s="195" t="str">
        <f t="shared" si="1"/>
        <v>-</v>
      </c>
    </row>
    <row r="113" spans="1:10" ht="26.25" customHeight="1" x14ac:dyDescent="0.45">
      <c r="A113" s="74" t="s">
        <v>89</v>
      </c>
      <c r="B113" s="75">
        <v>1</v>
      </c>
      <c r="C113" s="196">
        <v>6</v>
      </c>
      <c r="D113" s="197"/>
      <c r="E113" s="226" t="str">
        <f t="shared" si="0"/>
        <v>-</v>
      </c>
      <c r="F113" s="198" t="str">
        <f t="shared" si="1"/>
        <v>-</v>
      </c>
    </row>
    <row r="114" spans="1:10" ht="26.25" customHeight="1" x14ac:dyDescent="0.45">
      <c r="A114" s="74" t="s">
        <v>90</v>
      </c>
      <c r="B114" s="75">
        <v>1</v>
      </c>
      <c r="C114" s="192"/>
      <c r="D114" s="147"/>
      <c r="E114" s="48"/>
      <c r="F114" s="199"/>
    </row>
    <row r="115" spans="1:10" ht="26.25" customHeight="1" x14ac:dyDescent="0.45">
      <c r="A115" s="74" t="s">
        <v>91</v>
      </c>
      <c r="B115" s="75">
        <v>1</v>
      </c>
      <c r="C115" s="192"/>
      <c r="D115" s="200" t="s">
        <v>62</v>
      </c>
      <c r="E115" s="228" t="e">
        <f>AVERAGE(E108:E113)</f>
        <v>#DIV/0!</v>
      </c>
      <c r="F115" s="201" t="e">
        <f>AVERAGE(F108:F113)</f>
        <v>#DIV/0!</v>
      </c>
    </row>
    <row r="116" spans="1:10" ht="27" customHeight="1" x14ac:dyDescent="0.45">
      <c r="A116" s="74" t="s">
        <v>92</v>
      </c>
      <c r="B116" s="106">
        <f>(B115/B114)*(B113/B112)*(B111/B110)*(B109/B108)*B107</f>
        <v>45000</v>
      </c>
      <c r="C116" s="202"/>
      <c r="D116" s="165" t="s">
        <v>75</v>
      </c>
      <c r="E116" s="203" t="e">
        <f>STDEV(E108:E113)/E115</f>
        <v>#DIV/0!</v>
      </c>
      <c r="F116" s="203" t="e">
        <f>STDEV(F108:F113)/F115</f>
        <v>#DIV/0!</v>
      </c>
      <c r="I116" s="48"/>
    </row>
    <row r="117" spans="1:10" ht="27" customHeight="1" x14ac:dyDescent="0.45">
      <c r="A117" s="257" t="s">
        <v>69</v>
      </c>
      <c r="B117" s="258"/>
      <c r="C117" s="204"/>
      <c r="D117" s="205" t="s">
        <v>14</v>
      </c>
      <c r="E117" s="206">
        <f>COUNT(E108:E113)</f>
        <v>0</v>
      </c>
      <c r="F117" s="206">
        <f>COUNT(F108:F113)</f>
        <v>0</v>
      </c>
      <c r="I117" s="48"/>
      <c r="J117" s="185"/>
    </row>
    <row r="118" spans="1:10" ht="19.5" customHeight="1" x14ac:dyDescent="0.35">
      <c r="A118" s="259"/>
      <c r="B118" s="260"/>
      <c r="C118" s="48"/>
      <c r="D118" s="48"/>
      <c r="E118" s="48"/>
      <c r="F118" s="147"/>
      <c r="G118" s="48"/>
      <c r="H118" s="48"/>
      <c r="I118" s="48"/>
    </row>
    <row r="119" spans="1:10" ht="18" x14ac:dyDescent="0.35">
      <c r="A119" s="215"/>
      <c r="B119" s="70"/>
      <c r="C119" s="48"/>
      <c r="D119" s="48"/>
      <c r="E119" s="48"/>
      <c r="F119" s="147"/>
      <c r="G119" s="48"/>
      <c r="H119" s="48"/>
      <c r="I119" s="48"/>
    </row>
    <row r="120" spans="1:10" ht="26.25" customHeight="1" x14ac:dyDescent="0.45">
      <c r="A120" s="58" t="s">
        <v>95</v>
      </c>
      <c r="B120" s="154" t="s">
        <v>111</v>
      </c>
      <c r="C120" s="269" t="str">
        <f>B20</f>
        <v>Albendazole</v>
      </c>
      <c r="D120" s="269"/>
      <c r="E120" s="155" t="s">
        <v>112</v>
      </c>
      <c r="F120" s="155"/>
      <c r="G120" s="156" t="e">
        <f>F115</f>
        <v>#DIV/0!</v>
      </c>
      <c r="H120" s="48"/>
      <c r="I120" s="48"/>
    </row>
    <row r="121" spans="1:10" ht="19.5" customHeight="1" x14ac:dyDescent="0.35">
      <c r="A121" s="207"/>
      <c r="B121" s="207"/>
      <c r="C121" s="208"/>
      <c r="D121" s="208"/>
      <c r="E121" s="208"/>
      <c r="F121" s="208"/>
      <c r="G121" s="208"/>
      <c r="H121" s="208"/>
    </row>
    <row r="122" spans="1:10" ht="18" x14ac:dyDescent="0.35">
      <c r="B122" s="270" t="s">
        <v>19</v>
      </c>
      <c r="C122" s="270"/>
      <c r="E122" s="161" t="s">
        <v>20</v>
      </c>
      <c r="F122" s="209"/>
      <c r="G122" s="270" t="s">
        <v>21</v>
      </c>
      <c r="H122" s="270"/>
    </row>
    <row r="123" spans="1:10" ht="69.900000000000006" customHeight="1" x14ac:dyDescent="0.35">
      <c r="A123" s="210" t="s">
        <v>22</v>
      </c>
      <c r="B123" s="211"/>
      <c r="C123" s="211"/>
      <c r="E123" s="211"/>
      <c r="F123" s="48"/>
      <c r="G123" s="212"/>
      <c r="H123" s="212"/>
    </row>
    <row r="124" spans="1:10" ht="69.900000000000006" customHeight="1" x14ac:dyDescent="0.35">
      <c r="A124" s="210" t="s">
        <v>23</v>
      </c>
      <c r="B124" s="213"/>
      <c r="C124" s="213"/>
      <c r="E124" s="213"/>
      <c r="F124" s="48"/>
      <c r="G124" s="214"/>
      <c r="H124" s="214"/>
    </row>
    <row r="125" spans="1:10" ht="18" x14ac:dyDescent="0.35">
      <c r="A125" s="146"/>
      <c r="B125" s="146"/>
      <c r="C125" s="147"/>
      <c r="D125" s="147"/>
      <c r="E125" s="147"/>
      <c r="F125" s="151"/>
      <c r="G125" s="147"/>
      <c r="H125" s="147"/>
      <c r="I125" s="48"/>
    </row>
    <row r="126" spans="1:10" ht="18" x14ac:dyDescent="0.35">
      <c r="A126" s="146"/>
      <c r="B126" s="146"/>
      <c r="C126" s="147"/>
      <c r="D126" s="147"/>
      <c r="E126" s="147"/>
      <c r="F126" s="151"/>
      <c r="G126" s="147"/>
      <c r="H126" s="147"/>
      <c r="I126" s="48"/>
    </row>
    <row r="127" spans="1:10" ht="18" x14ac:dyDescent="0.35">
      <c r="A127" s="146"/>
      <c r="B127" s="146"/>
      <c r="C127" s="147"/>
      <c r="D127" s="147"/>
      <c r="E127" s="147"/>
      <c r="F127" s="151"/>
      <c r="G127" s="147"/>
      <c r="H127" s="147"/>
      <c r="I127" s="48"/>
    </row>
    <row r="128" spans="1:10" ht="18" x14ac:dyDescent="0.35">
      <c r="A128" s="146"/>
      <c r="B128" s="146"/>
      <c r="C128" s="147"/>
      <c r="D128" s="147"/>
      <c r="E128" s="147"/>
      <c r="F128" s="151"/>
      <c r="G128" s="147"/>
      <c r="H128" s="147"/>
      <c r="I128" s="48"/>
    </row>
    <row r="129" spans="1:9" ht="18" x14ac:dyDescent="0.35">
      <c r="A129" s="146"/>
      <c r="B129" s="146"/>
      <c r="C129" s="147"/>
      <c r="D129" s="147"/>
      <c r="E129" s="147"/>
      <c r="F129" s="151"/>
      <c r="G129" s="147"/>
      <c r="H129" s="147"/>
      <c r="I129" s="48"/>
    </row>
    <row r="130" spans="1:9" ht="18" x14ac:dyDescent="0.35">
      <c r="A130" s="146"/>
      <c r="B130" s="146"/>
      <c r="C130" s="147"/>
      <c r="D130" s="147"/>
      <c r="E130" s="147"/>
      <c r="F130" s="151"/>
      <c r="G130" s="147"/>
      <c r="H130" s="147"/>
      <c r="I130" s="48"/>
    </row>
    <row r="131" spans="1:9" ht="18" x14ac:dyDescent="0.35">
      <c r="A131" s="146"/>
      <c r="B131" s="146"/>
      <c r="C131" s="147"/>
      <c r="D131" s="147"/>
      <c r="E131" s="147"/>
      <c r="F131" s="151"/>
      <c r="G131" s="147"/>
      <c r="H131" s="147"/>
      <c r="I131" s="48"/>
    </row>
    <row r="132" spans="1:9" ht="18" x14ac:dyDescent="0.35">
      <c r="A132" s="146"/>
      <c r="B132" s="146"/>
      <c r="C132" s="147"/>
      <c r="D132" s="147"/>
      <c r="E132" s="147"/>
      <c r="F132" s="151"/>
      <c r="G132" s="147"/>
      <c r="H132" s="147"/>
      <c r="I132" s="48"/>
    </row>
    <row r="133" spans="1:9" ht="18" x14ac:dyDescent="0.35">
      <c r="A133" s="146"/>
      <c r="B133" s="146"/>
      <c r="C133" s="147"/>
      <c r="D133" s="147"/>
      <c r="E133" s="147"/>
      <c r="F133" s="151"/>
      <c r="G133" s="147"/>
      <c r="H133" s="147"/>
      <c r="I133" s="48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4" priority="3" operator="greaterThan">
      <formula>0.02</formula>
    </cfRule>
  </conditionalFormatting>
  <conditionalFormatting sqref="D51">
    <cfRule type="cellIs" dxfId="43" priority="4" operator="greaterThan">
      <formula>0.02</formula>
    </cfRule>
  </conditionalFormatting>
  <conditionalFormatting sqref="G73">
    <cfRule type="cellIs" dxfId="42" priority="5" operator="greaterThan">
      <formula>0.02</formula>
    </cfRule>
  </conditionalFormatting>
  <conditionalFormatting sqref="I73">
    <cfRule type="cellIs" dxfId="41" priority="6" operator="greaterThan">
      <formula>0.02</formula>
    </cfRule>
  </conditionalFormatting>
  <conditionalFormatting sqref="D104">
    <cfRule type="cellIs" dxfId="40" priority="7" operator="greaterThan">
      <formula>0.02</formula>
    </cfRule>
  </conditionalFormatting>
  <conditionalFormatting sqref="I39">
    <cfRule type="cellIs" dxfId="39" priority="8" operator="lessThanOrEqual">
      <formula>0.02</formula>
    </cfRule>
  </conditionalFormatting>
  <conditionalFormatting sqref="I39">
    <cfRule type="cellIs" dxfId="38" priority="9" operator="greaterThan">
      <formula>0.02</formula>
    </cfRule>
  </conditionalFormatting>
  <conditionalFormatting sqref="I92">
    <cfRule type="cellIs" dxfId="37" priority="10" operator="lessThanOrEqual">
      <formula>0.02</formula>
    </cfRule>
  </conditionalFormatting>
  <conditionalFormatting sqref="I92">
    <cfRule type="cellIs" dxfId="36" priority="11" operator="greaterThan">
      <formula>0.02</formula>
    </cfRule>
  </conditionalFormatting>
  <conditionalFormatting sqref="J73">
    <cfRule type="cellIs" dxfId="35" priority="2" operator="greaterThan">
      <formula>0.02</formula>
    </cfRule>
  </conditionalFormatting>
  <conditionalFormatting sqref="H73">
    <cfRule type="cellIs" dxfId="3" priority="1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E20" sqref="E20"/>
    </sheetView>
  </sheetViews>
  <sheetFormatPr defaultRowHeight="13.8" x14ac:dyDescent="0.3"/>
  <cols>
    <col min="1" max="1" width="15.5546875" style="287" customWidth="1"/>
    <col min="2" max="2" width="18.44140625" style="287" customWidth="1"/>
    <col min="3" max="3" width="14.33203125" style="287" customWidth="1"/>
    <col min="4" max="4" width="15" style="287" customWidth="1"/>
    <col min="5" max="5" width="9.109375" style="287" customWidth="1"/>
    <col min="6" max="6" width="27.88671875" style="287" customWidth="1"/>
    <col min="7" max="7" width="12.33203125" style="287" customWidth="1"/>
    <col min="8" max="8" width="9.109375" style="287" customWidth="1"/>
    <col min="9" max="16384" width="8.88671875" style="338"/>
  </cols>
  <sheetData>
    <row r="10" spans="1:7" ht="13.5" customHeight="1" thickBot="1" x14ac:dyDescent="0.35"/>
    <row r="11" spans="1:7" ht="13.5" customHeight="1" thickBot="1" x14ac:dyDescent="0.35">
      <c r="A11" s="288" t="s">
        <v>24</v>
      </c>
      <c r="B11" s="289"/>
      <c r="C11" s="289"/>
      <c r="D11" s="289"/>
      <c r="E11" s="289"/>
      <c r="F11" s="290"/>
      <c r="G11" s="291"/>
    </row>
    <row r="12" spans="1:7" ht="16.5" customHeight="1" x14ac:dyDescent="0.3">
      <c r="A12" s="292" t="s">
        <v>25</v>
      </c>
      <c r="B12" s="292"/>
      <c r="C12" s="292"/>
      <c r="D12" s="292"/>
      <c r="E12" s="292"/>
      <c r="F12" s="292"/>
      <c r="G12" s="293"/>
    </row>
    <row r="14" spans="1:7" ht="16.5" customHeight="1" x14ac:dyDescent="0.3">
      <c r="A14" s="294" t="s">
        <v>26</v>
      </c>
      <c r="B14" s="294"/>
      <c r="C14" s="295" t="s">
        <v>124</v>
      </c>
    </row>
    <row r="15" spans="1:7" ht="16.5" customHeight="1" x14ac:dyDescent="0.3">
      <c r="A15" s="294" t="s">
        <v>27</v>
      </c>
      <c r="B15" s="294"/>
      <c r="C15" s="295" t="s">
        <v>125</v>
      </c>
    </row>
    <row r="16" spans="1:7" ht="16.5" customHeight="1" x14ac:dyDescent="0.3">
      <c r="A16" s="294" t="s">
        <v>28</v>
      </c>
      <c r="B16" s="294"/>
      <c r="C16" s="295" t="s">
        <v>126</v>
      </c>
    </row>
    <row r="17" spans="1:5" ht="16.5" customHeight="1" x14ac:dyDescent="0.3">
      <c r="A17" s="294" t="s">
        <v>29</v>
      </c>
      <c r="B17" s="294"/>
      <c r="C17" s="295" t="s">
        <v>127</v>
      </c>
    </row>
    <row r="18" spans="1:5" ht="16.5" customHeight="1" x14ac:dyDescent="0.3">
      <c r="A18" s="294" t="s">
        <v>30</v>
      </c>
      <c r="B18" s="294"/>
      <c r="C18" s="296" t="s">
        <v>128</v>
      </c>
    </row>
    <row r="19" spans="1:5" ht="16.5" customHeight="1" x14ac:dyDescent="0.3">
      <c r="A19" s="294" t="s">
        <v>31</v>
      </c>
      <c r="B19" s="294"/>
      <c r="C19" s="296" t="e">
        <f>#REF!</f>
        <v>#REF!</v>
      </c>
    </row>
    <row r="20" spans="1:5" ht="16.5" customHeight="1" x14ac:dyDescent="0.3">
      <c r="A20" s="297"/>
      <c r="B20" s="297"/>
      <c r="C20" s="298"/>
    </row>
    <row r="21" spans="1:5" ht="16.5" customHeight="1" x14ac:dyDescent="0.3">
      <c r="A21" s="292" t="s">
        <v>1</v>
      </c>
      <c r="B21" s="292"/>
      <c r="C21" s="299" t="s">
        <v>32</v>
      </c>
      <c r="D21" s="300"/>
    </row>
    <row r="22" spans="1:5" ht="15.75" customHeight="1" thickBot="1" x14ac:dyDescent="0.35">
      <c r="A22" s="301"/>
      <c r="B22" s="301"/>
      <c r="C22" s="302"/>
      <c r="D22" s="301"/>
      <c r="E22" s="301"/>
    </row>
    <row r="23" spans="1:5" ht="33.75" customHeight="1" thickBot="1" x14ac:dyDescent="0.35">
      <c r="C23" s="303" t="s">
        <v>33</v>
      </c>
      <c r="D23" s="304" t="s">
        <v>34</v>
      </c>
      <c r="E23" s="305"/>
    </row>
    <row r="24" spans="1:5" ht="15.75" customHeight="1" x14ac:dyDescent="0.3">
      <c r="C24" s="306">
        <v>681.9</v>
      </c>
      <c r="D24" s="307">
        <f t="shared" ref="D24:D43" si="0">(C24-$C$46)/$C$46</f>
        <v>-1.7465597247347642E-2</v>
      </c>
      <c r="E24" s="308"/>
    </row>
    <row r="25" spans="1:5" ht="15.75" customHeight="1" x14ac:dyDescent="0.3">
      <c r="C25" s="306">
        <v>700.58</v>
      </c>
      <c r="D25" s="309">
        <f t="shared" si="0"/>
        <v>9.4499954252137437E-3</v>
      </c>
      <c r="E25" s="308"/>
    </row>
    <row r="26" spans="1:5" ht="15.75" customHeight="1" x14ac:dyDescent="0.3">
      <c r="C26" s="306">
        <v>704.7</v>
      </c>
      <c r="D26" s="309">
        <f t="shared" si="0"/>
        <v>1.5386410939718704E-2</v>
      </c>
      <c r="E26" s="308"/>
    </row>
    <row r="27" spans="1:5" ht="15.75" customHeight="1" x14ac:dyDescent="0.3">
      <c r="C27" s="306">
        <v>686.54</v>
      </c>
      <c r="D27" s="309">
        <f t="shared" si="0"/>
        <v>-1.0779925405769268E-2</v>
      </c>
      <c r="E27" s="308"/>
    </row>
    <row r="28" spans="1:5" ht="15.75" customHeight="1" x14ac:dyDescent="0.3">
      <c r="C28" s="306">
        <v>697.02</v>
      </c>
      <c r="D28" s="309">
        <f t="shared" si="0"/>
        <v>4.3204713398647182E-3</v>
      </c>
      <c r="E28" s="308"/>
    </row>
    <row r="29" spans="1:5" ht="15.75" customHeight="1" x14ac:dyDescent="0.3">
      <c r="C29" s="306">
        <v>703.61</v>
      </c>
      <c r="D29" s="309">
        <f t="shared" si="0"/>
        <v>1.3815854407968561E-2</v>
      </c>
      <c r="E29" s="308"/>
    </row>
    <row r="30" spans="1:5" ht="15.75" customHeight="1" x14ac:dyDescent="0.3">
      <c r="C30" s="306">
        <v>677.58</v>
      </c>
      <c r="D30" s="309">
        <f t="shared" si="0"/>
        <v>-2.3690188272265367E-2</v>
      </c>
      <c r="E30" s="308"/>
    </row>
    <row r="31" spans="1:5" ht="15.75" customHeight="1" x14ac:dyDescent="0.3">
      <c r="C31" s="306">
        <v>703.45</v>
      </c>
      <c r="D31" s="309">
        <f t="shared" si="0"/>
        <v>1.3585313999638318E-2</v>
      </c>
      <c r="E31" s="308"/>
    </row>
    <row r="32" spans="1:5" ht="15.75" customHeight="1" x14ac:dyDescent="0.3">
      <c r="C32" s="306">
        <v>675.6</v>
      </c>
      <c r="D32" s="309">
        <f t="shared" si="0"/>
        <v>-2.6543125825352724E-2</v>
      </c>
      <c r="E32" s="308"/>
    </row>
    <row r="33" spans="1:7" ht="15.75" customHeight="1" x14ac:dyDescent="0.3">
      <c r="C33" s="306">
        <v>709.5</v>
      </c>
      <c r="D33" s="309">
        <f t="shared" si="0"/>
        <v>2.2302623189627321E-2</v>
      </c>
      <c r="E33" s="308"/>
    </row>
    <row r="34" spans="1:7" ht="15.75" customHeight="1" x14ac:dyDescent="0.3">
      <c r="C34" s="306">
        <v>686.62</v>
      </c>
      <c r="D34" s="309">
        <f t="shared" si="0"/>
        <v>-1.0664655201604064E-2</v>
      </c>
      <c r="E34" s="308"/>
    </row>
    <row r="35" spans="1:7" ht="15.75" customHeight="1" x14ac:dyDescent="0.3">
      <c r="C35" s="306">
        <v>700.71</v>
      </c>
      <c r="D35" s="309">
        <f t="shared" si="0"/>
        <v>9.6373095069820971E-3</v>
      </c>
      <c r="E35" s="308"/>
    </row>
    <row r="36" spans="1:7" ht="15.75" customHeight="1" x14ac:dyDescent="0.3">
      <c r="C36" s="306">
        <v>709.6</v>
      </c>
      <c r="D36" s="309">
        <f t="shared" si="0"/>
        <v>2.2446710944833786E-2</v>
      </c>
      <c r="E36" s="308"/>
    </row>
    <row r="37" spans="1:7" ht="15.75" customHeight="1" x14ac:dyDescent="0.3">
      <c r="C37" s="306">
        <v>681.98</v>
      </c>
      <c r="D37" s="309">
        <f t="shared" si="0"/>
        <v>-1.7350327043182439E-2</v>
      </c>
      <c r="E37" s="308"/>
    </row>
    <row r="38" spans="1:7" ht="15.75" customHeight="1" x14ac:dyDescent="0.3">
      <c r="C38" s="306">
        <v>675.88</v>
      </c>
      <c r="D38" s="309">
        <f t="shared" si="0"/>
        <v>-2.6139680110774756E-2</v>
      </c>
      <c r="E38" s="308"/>
    </row>
    <row r="39" spans="1:7" ht="15.75" customHeight="1" x14ac:dyDescent="0.3">
      <c r="C39" s="306">
        <v>704.14</v>
      </c>
      <c r="D39" s="309">
        <f t="shared" si="0"/>
        <v>1.4579519510562605E-2</v>
      </c>
      <c r="E39" s="308"/>
    </row>
    <row r="40" spans="1:7" ht="15.75" customHeight="1" x14ac:dyDescent="0.3">
      <c r="C40" s="306">
        <v>677.74</v>
      </c>
      <c r="D40" s="309">
        <f t="shared" si="0"/>
        <v>-2.3459647863935121E-2</v>
      </c>
      <c r="E40" s="308"/>
    </row>
    <row r="41" spans="1:7" ht="15.75" customHeight="1" x14ac:dyDescent="0.3">
      <c r="C41" s="306">
        <v>703.12</v>
      </c>
      <c r="D41" s="309">
        <f t="shared" si="0"/>
        <v>1.3109824407457036E-2</v>
      </c>
      <c r="E41" s="308"/>
    </row>
    <row r="42" spans="1:7" ht="15.75" customHeight="1" x14ac:dyDescent="0.3">
      <c r="C42" s="306">
        <v>696.77</v>
      </c>
      <c r="D42" s="309">
        <f t="shared" si="0"/>
        <v>3.9602519518486413E-3</v>
      </c>
      <c r="E42" s="308"/>
    </row>
    <row r="43" spans="1:7" ht="16.5" customHeight="1" thickBot="1" x14ac:dyDescent="0.35">
      <c r="C43" s="310">
        <v>703.39</v>
      </c>
      <c r="D43" s="311">
        <f t="shared" si="0"/>
        <v>1.3498861346514374E-2</v>
      </c>
      <c r="E43" s="308"/>
    </row>
    <row r="44" spans="1:7" ht="16.5" customHeight="1" thickBot="1" x14ac:dyDescent="0.35">
      <c r="C44" s="312"/>
      <c r="D44" s="308"/>
      <c r="E44" s="313"/>
    </row>
    <row r="45" spans="1:7" ht="16.5" customHeight="1" thickBot="1" x14ac:dyDescent="0.35">
      <c r="B45" s="314" t="s">
        <v>35</v>
      </c>
      <c r="C45" s="315">
        <f>SUM(C24:C44)</f>
        <v>13880.43</v>
      </c>
      <c r="D45" s="316"/>
      <c r="E45" s="312"/>
    </row>
    <row r="46" spans="1:7" ht="17.25" customHeight="1" thickBot="1" x14ac:dyDescent="0.35">
      <c r="B46" s="314" t="s">
        <v>36</v>
      </c>
      <c r="C46" s="317">
        <f>AVERAGE(C24:C44)</f>
        <v>694.02150000000006</v>
      </c>
      <c r="E46" s="318"/>
    </row>
    <row r="47" spans="1:7" ht="17.25" customHeight="1" thickBot="1" x14ac:dyDescent="0.35">
      <c r="A47" s="295"/>
      <c r="B47" s="319"/>
      <c r="D47" s="320"/>
      <c r="E47" s="318"/>
    </row>
    <row r="48" spans="1:7" ht="33.75" customHeight="1" thickBot="1" x14ac:dyDescent="0.35">
      <c r="B48" s="321" t="s">
        <v>36</v>
      </c>
      <c r="C48" s="304" t="s">
        <v>37</v>
      </c>
      <c r="D48" s="322"/>
      <c r="G48" s="320"/>
    </row>
    <row r="49" spans="1:6" ht="17.25" customHeight="1" thickBot="1" x14ac:dyDescent="0.35">
      <c r="B49" s="323">
        <f>C46</f>
        <v>694.02150000000006</v>
      </c>
      <c r="C49" s="324">
        <f>-IF(C46&lt;=80,10%,IF(C46&lt;250,7.5%,5%))</f>
        <v>-0.05</v>
      </c>
      <c r="D49" s="325">
        <f>IF(C46&lt;=80,C46*0.9,IF(C46&lt;250,C46*0.925,C46*0.95))</f>
        <v>659.320425</v>
      </c>
    </row>
    <row r="50" spans="1:6" ht="17.25" customHeight="1" thickBot="1" x14ac:dyDescent="0.35">
      <c r="B50" s="326"/>
      <c r="C50" s="327">
        <f>IF(C46&lt;=80, 10%, IF(C46&lt;250, 7.5%, 5%))</f>
        <v>0.05</v>
      </c>
      <c r="D50" s="325">
        <f>IF(C46&lt;=80, C46*1.1, IF(C46&lt;250, C46*1.075, C46*1.05))</f>
        <v>728.72257500000012</v>
      </c>
    </row>
    <row r="51" spans="1:6" ht="16.5" customHeight="1" thickBot="1" x14ac:dyDescent="0.35">
      <c r="A51" s="328"/>
      <c r="B51" s="329"/>
      <c r="C51" s="295"/>
      <c r="D51" s="330"/>
      <c r="E51" s="295"/>
      <c r="F51" s="300"/>
    </row>
    <row r="52" spans="1:6" ht="16.5" customHeight="1" x14ac:dyDescent="0.3">
      <c r="A52" s="295"/>
      <c r="B52" s="331" t="s">
        <v>19</v>
      </c>
      <c r="C52" s="331"/>
      <c r="D52" s="332" t="s">
        <v>20</v>
      </c>
      <c r="E52" s="333"/>
      <c r="F52" s="332" t="s">
        <v>21</v>
      </c>
    </row>
    <row r="53" spans="1:6" ht="34.5" customHeight="1" x14ac:dyDescent="0.3">
      <c r="A53" s="297" t="s">
        <v>22</v>
      </c>
      <c r="B53" s="334"/>
      <c r="C53" s="295"/>
      <c r="D53" s="334"/>
      <c r="E53" s="295"/>
      <c r="F53" s="334"/>
    </row>
    <row r="54" spans="1:6" ht="34.5" customHeight="1" x14ac:dyDescent="0.3">
      <c r="A54" s="297" t="s">
        <v>23</v>
      </c>
      <c r="B54" s="335"/>
      <c r="C54" s="336"/>
      <c r="D54" s="335"/>
      <c r="E54" s="295"/>
      <c r="F54" s="337"/>
    </row>
  </sheetData>
  <sheetProtection password="B3F3" sheet="1" formatColumns="0" formatRows="0" insertColumns="0" insertHyperlinks="0" deleteColumns="0" deleteRows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3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E65" zoomScale="60" zoomScaleNormal="60" zoomScalePageLayoutView="55" workbookViewId="0">
      <selection activeCell="J91" sqref="J91"/>
    </sheetView>
  </sheetViews>
  <sheetFormatPr defaultColWidth="9.109375" defaultRowHeight="13.8" x14ac:dyDescent="0.3"/>
  <cols>
    <col min="1" max="1" width="55.44140625" style="176" customWidth="1"/>
    <col min="2" max="2" width="33.6640625" style="176" customWidth="1"/>
    <col min="3" max="3" width="42.33203125" style="176" customWidth="1"/>
    <col min="4" max="4" width="35" style="176" customWidth="1"/>
    <col min="5" max="5" width="39.88671875" style="176" customWidth="1"/>
    <col min="6" max="6" width="35.109375" style="176" customWidth="1"/>
    <col min="7" max="7" width="39.88671875" style="176" customWidth="1"/>
    <col min="8" max="8" width="30" style="176" customWidth="1"/>
    <col min="9" max="9" width="30.33203125" style="176" hidden="1" customWidth="1"/>
    <col min="10" max="10" width="30.44140625" style="176" customWidth="1"/>
    <col min="11" max="11" width="21.33203125" style="176" customWidth="1"/>
    <col min="12" max="12" width="9.109375" style="176"/>
    <col min="13" max="16384" width="9.109375" style="38"/>
  </cols>
  <sheetData>
    <row r="1" spans="1:9" ht="18.75" customHeight="1" x14ac:dyDescent="0.3">
      <c r="A1" s="267" t="s">
        <v>113</v>
      </c>
      <c r="B1" s="267"/>
      <c r="C1" s="267"/>
      <c r="D1" s="267"/>
      <c r="E1" s="267"/>
      <c r="F1" s="267"/>
      <c r="G1" s="267"/>
      <c r="H1" s="267"/>
      <c r="I1" s="267"/>
    </row>
    <row r="2" spans="1:9" ht="18.75" customHeight="1" x14ac:dyDescent="0.3">
      <c r="A2" s="267"/>
      <c r="B2" s="267"/>
      <c r="C2" s="267"/>
      <c r="D2" s="267"/>
      <c r="E2" s="267"/>
      <c r="F2" s="267"/>
      <c r="G2" s="267"/>
      <c r="H2" s="267"/>
      <c r="I2" s="267"/>
    </row>
    <row r="3" spans="1:9" ht="18.75" customHeight="1" x14ac:dyDescent="0.3">
      <c r="A3" s="267"/>
      <c r="B3" s="267"/>
      <c r="C3" s="267"/>
      <c r="D3" s="267"/>
      <c r="E3" s="267"/>
      <c r="F3" s="267"/>
      <c r="G3" s="267"/>
      <c r="H3" s="267"/>
      <c r="I3" s="267"/>
    </row>
    <row r="4" spans="1:9" ht="18.75" customHeight="1" x14ac:dyDescent="0.3">
      <c r="A4" s="267"/>
      <c r="B4" s="267"/>
      <c r="C4" s="267"/>
      <c r="D4" s="267"/>
      <c r="E4" s="267"/>
      <c r="F4" s="267"/>
      <c r="G4" s="267"/>
      <c r="H4" s="267"/>
      <c r="I4" s="267"/>
    </row>
    <row r="5" spans="1:9" ht="18.75" customHeight="1" x14ac:dyDescent="0.3">
      <c r="A5" s="267"/>
      <c r="B5" s="267"/>
      <c r="C5" s="267"/>
      <c r="D5" s="267"/>
      <c r="E5" s="267"/>
      <c r="F5" s="267"/>
      <c r="G5" s="267"/>
      <c r="H5" s="267"/>
      <c r="I5" s="267"/>
    </row>
    <row r="6" spans="1:9" ht="18.75" customHeight="1" x14ac:dyDescent="0.3">
      <c r="A6" s="267"/>
      <c r="B6" s="267"/>
      <c r="C6" s="267"/>
      <c r="D6" s="267"/>
      <c r="E6" s="267"/>
      <c r="F6" s="267"/>
      <c r="G6" s="267"/>
      <c r="H6" s="267"/>
      <c r="I6" s="267"/>
    </row>
    <row r="7" spans="1:9" ht="18.75" customHeight="1" x14ac:dyDescent="0.3">
      <c r="A7" s="267"/>
      <c r="B7" s="267"/>
      <c r="C7" s="267"/>
      <c r="D7" s="267"/>
      <c r="E7" s="267"/>
      <c r="F7" s="267"/>
      <c r="G7" s="267"/>
      <c r="H7" s="267"/>
      <c r="I7" s="267"/>
    </row>
    <row r="8" spans="1:9" x14ac:dyDescent="0.3">
      <c r="A8" s="268" t="s">
        <v>114</v>
      </c>
      <c r="B8" s="268"/>
      <c r="C8" s="268"/>
      <c r="D8" s="268"/>
      <c r="E8" s="268"/>
      <c r="F8" s="268"/>
      <c r="G8" s="268"/>
      <c r="H8" s="268"/>
      <c r="I8" s="268"/>
    </row>
    <row r="9" spans="1:9" x14ac:dyDescent="0.3">
      <c r="A9" s="268"/>
      <c r="B9" s="268"/>
      <c r="C9" s="268"/>
      <c r="D9" s="268"/>
      <c r="E9" s="268"/>
      <c r="F9" s="268"/>
      <c r="G9" s="268"/>
      <c r="H9" s="268"/>
      <c r="I9" s="268"/>
    </row>
    <row r="10" spans="1:9" x14ac:dyDescent="0.3">
      <c r="A10" s="268"/>
      <c r="B10" s="268"/>
      <c r="C10" s="268"/>
      <c r="D10" s="268"/>
      <c r="E10" s="268"/>
      <c r="F10" s="268"/>
      <c r="G10" s="268"/>
      <c r="H10" s="268"/>
      <c r="I10" s="268"/>
    </row>
    <row r="11" spans="1:9" x14ac:dyDescent="0.3">
      <c r="A11" s="268"/>
      <c r="B11" s="268"/>
      <c r="C11" s="268"/>
      <c r="D11" s="268"/>
      <c r="E11" s="268"/>
      <c r="F11" s="268"/>
      <c r="G11" s="268"/>
      <c r="H11" s="268"/>
      <c r="I11" s="268"/>
    </row>
    <row r="12" spans="1:9" x14ac:dyDescent="0.3">
      <c r="A12" s="268"/>
      <c r="B12" s="268"/>
      <c r="C12" s="268"/>
      <c r="D12" s="268"/>
      <c r="E12" s="268"/>
      <c r="F12" s="268"/>
      <c r="G12" s="268"/>
      <c r="H12" s="268"/>
      <c r="I12" s="268"/>
    </row>
    <row r="13" spans="1:9" x14ac:dyDescent="0.3">
      <c r="A13" s="268"/>
      <c r="B13" s="268"/>
      <c r="C13" s="268"/>
      <c r="D13" s="268"/>
      <c r="E13" s="268"/>
      <c r="F13" s="268"/>
      <c r="G13" s="268"/>
      <c r="H13" s="268"/>
      <c r="I13" s="268"/>
    </row>
    <row r="14" spans="1:9" x14ac:dyDescent="0.3">
      <c r="A14" s="268"/>
      <c r="B14" s="268"/>
      <c r="C14" s="268"/>
      <c r="D14" s="268"/>
      <c r="E14" s="268"/>
      <c r="F14" s="268"/>
      <c r="G14" s="268"/>
      <c r="H14" s="268"/>
      <c r="I14" s="268"/>
    </row>
    <row r="15" spans="1:9" ht="19.5" customHeight="1" thickBot="1" x14ac:dyDescent="0.4">
      <c r="A15" s="155"/>
    </row>
    <row r="16" spans="1:9" ht="19.5" customHeight="1" thickBot="1" x14ac:dyDescent="0.4">
      <c r="A16" s="240" t="s">
        <v>24</v>
      </c>
      <c r="B16" s="241"/>
      <c r="C16" s="241"/>
      <c r="D16" s="241"/>
      <c r="E16" s="241"/>
      <c r="F16" s="241"/>
      <c r="G16" s="241"/>
      <c r="H16" s="242"/>
    </row>
    <row r="17" spans="1:14" ht="20.25" customHeight="1" x14ac:dyDescent="0.3">
      <c r="A17" s="243" t="s">
        <v>38</v>
      </c>
      <c r="B17" s="243"/>
      <c r="C17" s="243"/>
      <c r="D17" s="243"/>
      <c r="E17" s="243"/>
      <c r="F17" s="243"/>
      <c r="G17" s="243"/>
      <c r="H17" s="243"/>
    </row>
    <row r="18" spans="1:14" ht="26.25" customHeight="1" x14ac:dyDescent="0.5">
      <c r="A18" s="50" t="s">
        <v>26</v>
      </c>
      <c r="B18" s="239" t="s">
        <v>118</v>
      </c>
      <c r="C18" s="239"/>
      <c r="D18" s="216"/>
      <c r="E18" s="51"/>
      <c r="F18" s="229"/>
      <c r="G18" s="229"/>
      <c r="H18" s="229"/>
    </row>
    <row r="19" spans="1:14" ht="26.25" customHeight="1" x14ac:dyDescent="0.5">
      <c r="A19" s="50" t="s">
        <v>27</v>
      </c>
      <c r="B19" s="235" t="s">
        <v>120</v>
      </c>
      <c r="C19" s="229">
        <v>29</v>
      </c>
      <c r="D19" s="229"/>
      <c r="E19" s="229"/>
      <c r="F19" s="229"/>
      <c r="G19" s="229"/>
      <c r="H19" s="229"/>
    </row>
    <row r="20" spans="1:14" ht="26.25" customHeight="1" x14ac:dyDescent="0.5">
      <c r="A20" s="50" t="s">
        <v>28</v>
      </c>
      <c r="B20" s="244" t="s">
        <v>119</v>
      </c>
      <c r="C20" s="244"/>
      <c r="D20" s="229"/>
      <c r="E20" s="229"/>
      <c r="F20" s="229"/>
      <c r="G20" s="229"/>
      <c r="H20" s="229"/>
    </row>
    <row r="21" spans="1:14" ht="26.25" customHeight="1" x14ac:dyDescent="0.5">
      <c r="A21" s="50" t="s">
        <v>29</v>
      </c>
      <c r="B21" s="244" t="s">
        <v>121</v>
      </c>
      <c r="C21" s="244"/>
      <c r="D21" s="244"/>
      <c r="E21" s="244"/>
      <c r="F21" s="244"/>
      <c r="G21" s="244"/>
      <c r="H21" s="244"/>
      <c r="I21" s="54"/>
    </row>
    <row r="22" spans="1:14" ht="26.25" customHeight="1" x14ac:dyDescent="0.5">
      <c r="A22" s="50" t="s">
        <v>30</v>
      </c>
      <c r="B22" s="55"/>
      <c r="C22" s="229"/>
      <c r="D22" s="229"/>
      <c r="E22" s="229"/>
      <c r="F22" s="229"/>
      <c r="G22" s="229"/>
      <c r="H22" s="229"/>
    </row>
    <row r="23" spans="1:14" ht="26.25" customHeight="1" x14ac:dyDescent="0.5">
      <c r="A23" s="50" t="s">
        <v>31</v>
      </c>
      <c r="B23" s="55"/>
      <c r="C23" s="229"/>
      <c r="D23" s="229"/>
      <c r="E23" s="229"/>
      <c r="F23" s="229"/>
      <c r="G23" s="229"/>
      <c r="H23" s="229"/>
    </row>
    <row r="24" spans="1:14" ht="18" x14ac:dyDescent="0.35">
      <c r="A24" s="50"/>
      <c r="B24" s="56"/>
    </row>
    <row r="25" spans="1:14" ht="18" x14ac:dyDescent="0.35">
      <c r="A25" s="57" t="s">
        <v>1</v>
      </c>
      <c r="B25" s="56"/>
    </row>
    <row r="26" spans="1:14" ht="26.25" customHeight="1" x14ac:dyDescent="0.45">
      <c r="A26" s="210" t="s">
        <v>3</v>
      </c>
      <c r="B26" s="239" t="s">
        <v>122</v>
      </c>
      <c r="C26" s="239"/>
    </row>
    <row r="27" spans="1:14" ht="26.25" customHeight="1" x14ac:dyDescent="0.5">
      <c r="A27" s="165" t="s">
        <v>39</v>
      </c>
      <c r="B27" s="245" t="s">
        <v>123</v>
      </c>
      <c r="C27" s="245"/>
    </row>
    <row r="28" spans="1:14" ht="27" customHeight="1" thickBot="1" x14ac:dyDescent="0.5">
      <c r="A28" s="165" t="s">
        <v>4</v>
      </c>
      <c r="B28" s="158">
        <v>99.6</v>
      </c>
    </row>
    <row r="29" spans="1:14" s="16" customFormat="1" ht="27" customHeight="1" thickBot="1" x14ac:dyDescent="0.55000000000000004">
      <c r="A29" s="165" t="s">
        <v>40</v>
      </c>
      <c r="B29" s="61">
        <v>0</v>
      </c>
      <c r="C29" s="246" t="s">
        <v>41</v>
      </c>
      <c r="D29" s="247"/>
      <c r="E29" s="247"/>
      <c r="F29" s="247"/>
      <c r="G29" s="248"/>
      <c r="I29" s="62"/>
      <c r="J29" s="62"/>
      <c r="K29" s="62"/>
      <c r="L29" s="62"/>
    </row>
    <row r="30" spans="1:14" s="16" customFormat="1" ht="19.5" customHeight="1" thickBot="1" x14ac:dyDescent="0.4">
      <c r="A30" s="165" t="s">
        <v>42</v>
      </c>
      <c r="B30" s="231">
        <f>B28-B29</f>
        <v>99.6</v>
      </c>
      <c r="C30" s="64"/>
      <c r="D30" s="64"/>
      <c r="E30" s="64"/>
      <c r="F30" s="64"/>
      <c r="G30" s="65"/>
      <c r="I30" s="62"/>
      <c r="J30" s="62"/>
      <c r="K30" s="62"/>
      <c r="L30" s="62"/>
    </row>
    <row r="31" spans="1:14" s="16" customFormat="1" ht="27" customHeight="1" thickBot="1" x14ac:dyDescent="0.5">
      <c r="A31" s="165" t="s">
        <v>43</v>
      </c>
      <c r="B31" s="66">
        <v>1</v>
      </c>
      <c r="C31" s="249" t="s">
        <v>44</v>
      </c>
      <c r="D31" s="250"/>
      <c r="E31" s="250"/>
      <c r="F31" s="250"/>
      <c r="G31" s="250"/>
      <c r="H31" s="251"/>
      <c r="I31" s="62"/>
      <c r="J31" s="62"/>
      <c r="K31" s="62"/>
      <c r="L31" s="62"/>
    </row>
    <row r="32" spans="1:14" s="16" customFormat="1" ht="27" customHeight="1" thickBot="1" x14ac:dyDescent="0.5">
      <c r="A32" s="165" t="s">
        <v>45</v>
      </c>
      <c r="B32" s="66">
        <v>1</v>
      </c>
      <c r="C32" s="249" t="s">
        <v>46</v>
      </c>
      <c r="D32" s="250"/>
      <c r="E32" s="250"/>
      <c r="F32" s="250"/>
      <c r="G32" s="250"/>
      <c r="H32" s="251"/>
      <c r="I32" s="62"/>
      <c r="J32" s="62"/>
      <c r="K32" s="62"/>
      <c r="L32" s="67"/>
      <c r="M32" s="67"/>
      <c r="N32" s="68"/>
    </row>
    <row r="33" spans="1:14" s="16" customFormat="1" ht="17.25" customHeight="1" x14ac:dyDescent="0.35">
      <c r="A33" s="165"/>
      <c r="B33" s="69"/>
      <c r="C33" s="70"/>
      <c r="D33" s="70"/>
      <c r="E33" s="70"/>
      <c r="F33" s="70"/>
      <c r="G33" s="70"/>
      <c r="H33" s="70"/>
      <c r="I33" s="62"/>
      <c r="J33" s="62"/>
      <c r="K33" s="62"/>
      <c r="L33" s="67"/>
      <c r="M33" s="67"/>
      <c r="N33" s="68"/>
    </row>
    <row r="34" spans="1:14" s="16" customFormat="1" ht="18" x14ac:dyDescent="0.35">
      <c r="A34" s="165" t="s">
        <v>47</v>
      </c>
      <c r="B34" s="71">
        <f>B31/B32</f>
        <v>1</v>
      </c>
      <c r="C34" s="155" t="s">
        <v>48</v>
      </c>
      <c r="D34" s="155"/>
      <c r="E34" s="155"/>
      <c r="F34" s="155"/>
      <c r="G34" s="155"/>
      <c r="H34" s="176"/>
      <c r="I34" s="62"/>
      <c r="J34" s="62"/>
      <c r="K34" s="62"/>
      <c r="L34" s="67"/>
      <c r="M34" s="67"/>
      <c r="N34" s="68"/>
    </row>
    <row r="35" spans="1:14" s="16" customFormat="1" ht="19.5" customHeight="1" thickBot="1" x14ac:dyDescent="0.4">
      <c r="A35" s="165"/>
      <c r="B35" s="231"/>
      <c r="G35" s="155"/>
      <c r="H35" s="176"/>
      <c r="I35" s="62"/>
      <c r="J35" s="62"/>
      <c r="K35" s="62"/>
      <c r="L35" s="67"/>
      <c r="M35" s="67"/>
      <c r="N35" s="68"/>
    </row>
    <row r="36" spans="1:14" s="16" customFormat="1" ht="27" customHeight="1" thickBot="1" x14ac:dyDescent="0.5">
      <c r="A36" s="72" t="s">
        <v>49</v>
      </c>
      <c r="B36" s="73">
        <v>100</v>
      </c>
      <c r="C36" s="155"/>
      <c r="D36" s="252" t="s">
        <v>50</v>
      </c>
      <c r="E36" s="253"/>
      <c r="F36" s="252" t="s">
        <v>51</v>
      </c>
      <c r="G36" s="254"/>
      <c r="H36" s="176"/>
      <c r="J36" s="62"/>
      <c r="K36" s="62"/>
      <c r="L36" s="67"/>
      <c r="M36" s="67"/>
      <c r="N36" s="68"/>
    </row>
    <row r="37" spans="1:14" s="16" customFormat="1" ht="27" customHeight="1" thickBot="1" x14ac:dyDescent="0.5">
      <c r="A37" s="74" t="s">
        <v>52</v>
      </c>
      <c r="B37" s="75">
        <v>1</v>
      </c>
      <c r="C37" s="76" t="s">
        <v>53</v>
      </c>
      <c r="D37" s="77" t="s">
        <v>54</v>
      </c>
      <c r="E37" s="78" t="s">
        <v>55</v>
      </c>
      <c r="F37" s="77" t="s">
        <v>54</v>
      </c>
      <c r="G37" s="79" t="s">
        <v>55</v>
      </c>
      <c r="H37" s="176"/>
      <c r="I37" s="80" t="s">
        <v>56</v>
      </c>
      <c r="J37" s="62"/>
      <c r="K37" s="62"/>
      <c r="L37" s="67"/>
      <c r="M37" s="67"/>
      <c r="N37" s="68"/>
    </row>
    <row r="38" spans="1:14" s="16" customFormat="1" ht="26.25" customHeight="1" x14ac:dyDescent="0.45">
      <c r="A38" s="74" t="s">
        <v>57</v>
      </c>
      <c r="B38" s="75">
        <v>1</v>
      </c>
      <c r="C38" s="81">
        <v>1</v>
      </c>
      <c r="D38" s="82">
        <v>77947122</v>
      </c>
      <c r="E38" s="83">
        <f>IF(ISBLANK(D38),"-",$D$48/$D$45*D38)</f>
        <v>49547428.078887247</v>
      </c>
      <c r="F38" s="82">
        <v>75202853</v>
      </c>
      <c r="G38" s="84">
        <f>IF(ISBLANK(F38),"-",$D$48/$F$45*F38)</f>
        <v>48369553.164612323</v>
      </c>
      <c r="H38" s="176"/>
      <c r="I38" s="85"/>
      <c r="J38" s="62"/>
      <c r="K38" s="62"/>
      <c r="L38" s="67"/>
      <c r="M38" s="67"/>
      <c r="N38" s="68"/>
    </row>
    <row r="39" spans="1:14" s="16" customFormat="1" ht="26.25" customHeight="1" x14ac:dyDescent="0.45">
      <c r="A39" s="74" t="s">
        <v>58</v>
      </c>
      <c r="B39" s="75">
        <v>1</v>
      </c>
      <c r="C39" s="106">
        <v>2</v>
      </c>
      <c r="D39" s="87">
        <v>79110535</v>
      </c>
      <c r="E39" s="88">
        <f>IF(ISBLANK(D39),"-",$D$48/$D$45*D39)</f>
        <v>50286956.626760289</v>
      </c>
      <c r="F39" s="87">
        <v>75996458</v>
      </c>
      <c r="G39" s="89">
        <f>IF(ISBLANK(F39),"-",$D$48/$F$45*F39)</f>
        <v>48879990.172091313</v>
      </c>
      <c r="H39" s="176"/>
      <c r="I39" s="256">
        <f>ABS((F43/D43*D42)-F42)/D42</f>
        <v>2.6196619657582503E-2</v>
      </c>
      <c r="J39" s="62"/>
      <c r="K39" s="62"/>
      <c r="L39" s="67"/>
      <c r="M39" s="67"/>
      <c r="N39" s="68"/>
    </row>
    <row r="40" spans="1:14" ht="26.25" customHeight="1" x14ac:dyDescent="0.45">
      <c r="A40" s="74" t="s">
        <v>59</v>
      </c>
      <c r="B40" s="75">
        <v>1</v>
      </c>
      <c r="C40" s="106">
        <v>3</v>
      </c>
      <c r="D40" s="87">
        <v>78954527</v>
      </c>
      <c r="E40" s="88">
        <f>IF(ISBLANK(D40),"-",$D$48/$D$45*D40)</f>
        <v>50187789.461104944</v>
      </c>
      <c r="F40" s="87">
        <v>75865843</v>
      </c>
      <c r="G40" s="89">
        <f>IF(ISBLANK(F40),"-",$D$48/$F$45*F40)</f>
        <v>48795980.20525407</v>
      </c>
      <c r="I40" s="256"/>
      <c r="L40" s="67"/>
      <c r="M40" s="67"/>
      <c r="N40" s="155"/>
    </row>
    <row r="41" spans="1:14" ht="27" customHeight="1" thickBot="1" x14ac:dyDescent="0.5">
      <c r="A41" s="74" t="s">
        <v>60</v>
      </c>
      <c r="B41" s="75">
        <v>1</v>
      </c>
      <c r="C41" s="91">
        <v>4</v>
      </c>
      <c r="D41" s="92"/>
      <c r="E41" s="93" t="str">
        <f>IF(ISBLANK(D41),"-",$D$48/$D$45*D41)</f>
        <v>-</v>
      </c>
      <c r="F41" s="92"/>
      <c r="G41" s="94" t="str">
        <f>IF(ISBLANK(F41),"-",$D$48/$F$45*F41)</f>
        <v>-</v>
      </c>
      <c r="I41" s="95"/>
      <c r="L41" s="67"/>
      <c r="M41" s="67"/>
      <c r="N41" s="155"/>
    </row>
    <row r="42" spans="1:14" ht="27" customHeight="1" thickBot="1" x14ac:dyDescent="0.5">
      <c r="A42" s="74" t="s">
        <v>61</v>
      </c>
      <c r="B42" s="75">
        <v>1</v>
      </c>
      <c r="C42" s="96" t="s">
        <v>62</v>
      </c>
      <c r="D42" s="97">
        <f>AVERAGE(D38:D41)</f>
        <v>78670728</v>
      </c>
      <c r="E42" s="98">
        <f>AVERAGE(E38:E41)</f>
        <v>50007391.388917483</v>
      </c>
      <c r="F42" s="97">
        <f>AVERAGE(F38:F41)</f>
        <v>75688384.666666672</v>
      </c>
      <c r="G42" s="99">
        <f>AVERAGE(G38:G41)</f>
        <v>48681841.180652566</v>
      </c>
      <c r="H42" s="100"/>
    </row>
    <row r="43" spans="1:14" ht="26.25" customHeight="1" x14ac:dyDescent="0.45">
      <c r="A43" s="74" t="s">
        <v>63</v>
      </c>
      <c r="B43" s="75">
        <v>1</v>
      </c>
      <c r="C43" s="101" t="s">
        <v>64</v>
      </c>
      <c r="D43" s="102">
        <v>31.59</v>
      </c>
      <c r="E43" s="155"/>
      <c r="F43" s="102">
        <v>31.22</v>
      </c>
      <c r="H43" s="100"/>
    </row>
    <row r="44" spans="1:14" ht="26.25" customHeight="1" x14ac:dyDescent="0.45">
      <c r="A44" s="74" t="s">
        <v>65</v>
      </c>
      <c r="B44" s="75">
        <v>1</v>
      </c>
      <c r="C44" s="103" t="s">
        <v>66</v>
      </c>
      <c r="D44" s="104">
        <f>D43*$B$34</f>
        <v>31.59</v>
      </c>
      <c r="E44" s="173"/>
      <c r="F44" s="104">
        <f>F43*$B$34</f>
        <v>31.22</v>
      </c>
      <c r="H44" s="100"/>
    </row>
    <row r="45" spans="1:14" ht="19.5" customHeight="1" thickBot="1" x14ac:dyDescent="0.4">
      <c r="A45" s="74" t="s">
        <v>67</v>
      </c>
      <c r="B45" s="106">
        <f>(B44/B43)*(B42/B41)*(B40/B39)*(B38/B37)*B36</f>
        <v>100</v>
      </c>
      <c r="C45" s="103" t="s">
        <v>68</v>
      </c>
      <c r="D45" s="107">
        <f>D44*$B$30/100</f>
        <v>31.463640000000002</v>
      </c>
      <c r="E45" s="151"/>
      <c r="F45" s="107">
        <f>F44*$B$30/100</f>
        <v>31.095119999999998</v>
      </c>
      <c r="H45" s="100"/>
    </row>
    <row r="46" spans="1:14" ht="19.5" customHeight="1" thickBot="1" x14ac:dyDescent="0.4">
      <c r="A46" s="257" t="s">
        <v>69</v>
      </c>
      <c r="B46" s="258"/>
      <c r="C46" s="103" t="s">
        <v>70</v>
      </c>
      <c r="D46" s="109">
        <f>D45/$B$45</f>
        <v>0.31463640000000004</v>
      </c>
      <c r="E46" s="110"/>
      <c r="F46" s="111">
        <f>F45/$B$45</f>
        <v>0.31095119999999998</v>
      </c>
      <c r="H46" s="100"/>
    </row>
    <row r="47" spans="1:14" ht="27" customHeight="1" thickBot="1" x14ac:dyDescent="0.5">
      <c r="A47" s="259"/>
      <c r="B47" s="260"/>
      <c r="C47" s="112" t="s">
        <v>71</v>
      </c>
      <c r="D47" s="113">
        <v>0.2</v>
      </c>
      <c r="E47" s="114"/>
      <c r="F47" s="110"/>
      <c r="H47" s="100"/>
    </row>
    <row r="48" spans="1:14" ht="18" x14ac:dyDescent="0.35">
      <c r="C48" s="115" t="s">
        <v>72</v>
      </c>
      <c r="D48" s="107">
        <f>D47*$B$45</f>
        <v>20</v>
      </c>
      <c r="F48" s="116"/>
      <c r="H48" s="100"/>
    </row>
    <row r="49" spans="1:12" ht="19.5" customHeight="1" thickBot="1" x14ac:dyDescent="0.4">
      <c r="C49" s="117" t="s">
        <v>73</v>
      </c>
      <c r="D49" s="118">
        <f>D48/B34</f>
        <v>20</v>
      </c>
      <c r="F49" s="116"/>
      <c r="H49" s="100"/>
    </row>
    <row r="50" spans="1:12" ht="18" x14ac:dyDescent="0.35">
      <c r="C50" s="72" t="s">
        <v>74</v>
      </c>
      <c r="D50" s="119">
        <f>AVERAGE(E38:E41,G38:G41)</f>
        <v>49344616.284785025</v>
      </c>
      <c r="F50" s="120"/>
      <c r="H50" s="100"/>
    </row>
    <row r="51" spans="1:12" ht="18" x14ac:dyDescent="0.35">
      <c r="C51" s="74" t="s">
        <v>75</v>
      </c>
      <c r="D51" s="121">
        <f>STDEV(E38:E41,G38:G41)/D50</f>
        <v>1.5976998172344353E-2</v>
      </c>
      <c r="F51" s="120"/>
      <c r="H51" s="100"/>
    </row>
    <row r="52" spans="1:12" ht="19.5" customHeight="1" thickBot="1" x14ac:dyDescent="0.4">
      <c r="C52" s="122" t="s">
        <v>14</v>
      </c>
      <c r="D52" s="123">
        <f>COUNT(E38:E41,G38:G41)</f>
        <v>6</v>
      </c>
      <c r="F52" s="120"/>
    </row>
    <row r="54" spans="1:12" ht="18" x14ac:dyDescent="0.35">
      <c r="A54" s="124" t="s">
        <v>1</v>
      </c>
      <c r="B54" s="125" t="s">
        <v>76</v>
      </c>
    </row>
    <row r="55" spans="1:12" ht="18" x14ac:dyDescent="0.35">
      <c r="A55" s="155" t="s">
        <v>77</v>
      </c>
      <c r="B55" s="127" t="str">
        <f>B21</f>
        <v>Each chewable tablet contains Albendazole 200 mg</v>
      </c>
      <c r="G55" s="281"/>
    </row>
    <row r="56" spans="1:12" ht="26.25" customHeight="1" x14ac:dyDescent="0.45">
      <c r="A56" s="127" t="s">
        <v>115</v>
      </c>
      <c r="B56" s="128">
        <v>200</v>
      </c>
      <c r="C56" s="155" t="str">
        <f>B26</f>
        <v>ALBENDAZOLE</v>
      </c>
      <c r="H56" s="173"/>
    </row>
    <row r="57" spans="1:12" ht="24" customHeight="1" x14ac:dyDescent="0.35">
      <c r="A57" s="127" t="s">
        <v>116</v>
      </c>
      <c r="B57" s="217">
        <f>'Uniformity (Kefa)'!C46</f>
        <v>694.02150000000006</v>
      </c>
      <c r="H57" s="173"/>
    </row>
    <row r="58" spans="1:12" ht="19.5" customHeight="1" thickBot="1" x14ac:dyDescent="0.4">
      <c r="H58" s="173"/>
    </row>
    <row r="59" spans="1:12" s="16" customFormat="1" ht="27" customHeight="1" thickBot="1" x14ac:dyDescent="0.5">
      <c r="A59" s="72" t="s">
        <v>78</v>
      </c>
      <c r="B59" s="73">
        <v>100</v>
      </c>
      <c r="C59" s="155"/>
      <c r="D59" s="130" t="s">
        <v>79</v>
      </c>
      <c r="E59" s="131" t="s">
        <v>53</v>
      </c>
      <c r="F59" s="131" t="s">
        <v>54</v>
      </c>
      <c r="G59" s="131" t="s">
        <v>80</v>
      </c>
      <c r="H59" s="76" t="s">
        <v>138</v>
      </c>
      <c r="I59" s="76" t="s">
        <v>81</v>
      </c>
      <c r="J59" s="76" t="s">
        <v>135</v>
      </c>
      <c r="K59" s="76" t="s">
        <v>134</v>
      </c>
      <c r="L59" s="62"/>
    </row>
    <row r="60" spans="1:12" s="16" customFormat="1" ht="26.25" customHeight="1" x14ac:dyDescent="0.45">
      <c r="A60" s="74" t="s">
        <v>82</v>
      </c>
      <c r="B60" s="75">
        <v>1</v>
      </c>
      <c r="C60" s="261" t="s">
        <v>83</v>
      </c>
      <c r="D60" s="264">
        <v>107.97</v>
      </c>
      <c r="E60" s="132">
        <v>1</v>
      </c>
      <c r="F60" s="133">
        <v>60048452</v>
      </c>
      <c r="G60" s="218">
        <f>IF(ISBLANK(F60),"-",(F60/$D$50*$D$47*$B$68)*($B$57/$D$60))</f>
        <v>156.44506170057196</v>
      </c>
      <c r="H60" s="379">
        <f>AVERAGE(J60,K60)</f>
        <v>0.76089669464622878</v>
      </c>
      <c r="I60" s="140">
        <f t="shared" ref="I60:I71" si="0">IF(ISBLANK(G60),"-",H60/$B$56)</f>
        <v>3.8044834732311439E-3</v>
      </c>
      <c r="J60" s="134">
        <f>IF(ISBLANK(F60),"-",G60/$B$56)</f>
        <v>0.78222530850285976</v>
      </c>
      <c r="K60" s="134">
        <v>0.73956808078959768</v>
      </c>
      <c r="L60" s="62"/>
    </row>
    <row r="61" spans="1:12" s="16" customFormat="1" ht="26.25" customHeight="1" x14ac:dyDescent="0.45">
      <c r="A61" s="74" t="s">
        <v>84</v>
      </c>
      <c r="B61" s="75">
        <v>1</v>
      </c>
      <c r="C61" s="262"/>
      <c r="D61" s="265"/>
      <c r="E61" s="135">
        <v>2</v>
      </c>
      <c r="F61" s="87">
        <v>60338142</v>
      </c>
      <c r="G61" s="219">
        <f>IF(ISBLANK(F61),"-",(F61/$D$50*$D$47*$B$68)*($B$57/$D$60))</f>
        <v>157.19979506029352</v>
      </c>
      <c r="H61" s="380">
        <f>AVERAGE(J61,K61)</f>
        <v>0.76460356848099242</v>
      </c>
      <c r="I61" s="141">
        <f t="shared" si="0"/>
        <v>3.8230178424049619E-3</v>
      </c>
      <c r="J61" s="136">
        <f>IF(ISBLANK(F61),"-",G61/$B$56)</f>
        <v>0.78599897530146767</v>
      </c>
      <c r="K61" s="136">
        <v>0.74320816166051729</v>
      </c>
      <c r="L61" s="62"/>
    </row>
    <row r="62" spans="1:12" s="16" customFormat="1" ht="26.25" customHeight="1" x14ac:dyDescent="0.45">
      <c r="A62" s="74" t="s">
        <v>85</v>
      </c>
      <c r="B62" s="75">
        <v>1</v>
      </c>
      <c r="C62" s="262"/>
      <c r="D62" s="265"/>
      <c r="E62" s="135">
        <v>3</v>
      </c>
      <c r="F62" s="137">
        <v>60778992</v>
      </c>
      <c r="G62" s="219">
        <f>IF(ISBLANK(F62),"-",(F62/$D$50*$D$47*$B$68)*($B$57/$D$60))</f>
        <v>158.34834765663183</v>
      </c>
      <c r="H62" s="380">
        <f t="shared" ref="H62:H71" si="1">AVERAGE(J62,K62)</f>
        <v>0.76952339537335201</v>
      </c>
      <c r="I62" s="141">
        <f t="shared" si="0"/>
        <v>3.8476169768667601E-3</v>
      </c>
      <c r="J62" s="136">
        <f>IF(ISBLANK(F62),"-",G62/$B$56)</f>
        <v>0.79174173828315919</v>
      </c>
      <c r="K62" s="136">
        <v>0.74730505246354484</v>
      </c>
      <c r="L62" s="62"/>
    </row>
    <row r="63" spans="1:12" ht="27" customHeight="1" thickBot="1" x14ac:dyDescent="0.5">
      <c r="A63" s="74" t="s">
        <v>86</v>
      </c>
      <c r="B63" s="75">
        <v>1</v>
      </c>
      <c r="C63" s="263"/>
      <c r="D63" s="266"/>
      <c r="E63" s="138">
        <v>4</v>
      </c>
      <c r="F63" s="139"/>
      <c r="G63" s="219" t="str">
        <f>IF(ISBLANK(F63),"-",(F63/$D$50*$D$47*$B$68)*($B$57/$D$60))</f>
        <v>-</v>
      </c>
      <c r="H63" s="381" t="s">
        <v>136</v>
      </c>
      <c r="I63" s="141" t="e">
        <f t="shared" si="0"/>
        <v>#VALUE!</v>
      </c>
      <c r="J63" s="136" t="str">
        <f>IF(ISBLANK(F63),"-",G63/$B$56)</f>
        <v>-</v>
      </c>
      <c r="K63" s="136" t="s">
        <v>136</v>
      </c>
    </row>
    <row r="64" spans="1:12" ht="26.25" customHeight="1" x14ac:dyDescent="0.45">
      <c r="A64" s="74" t="s">
        <v>87</v>
      </c>
      <c r="B64" s="75">
        <v>1</v>
      </c>
      <c r="C64" s="261" t="s">
        <v>88</v>
      </c>
      <c r="D64" s="264">
        <v>113.89</v>
      </c>
      <c r="E64" s="132">
        <v>1</v>
      </c>
      <c r="F64" s="133">
        <v>61765107</v>
      </c>
      <c r="G64" s="220">
        <f>IF(ISBLANK(F64),"-",(F64/$D$50*$D$47*$B$68)*($B$57/$D$64))</f>
        <v>152.55299884173593</v>
      </c>
      <c r="H64" s="136">
        <f t="shared" si="1"/>
        <v>0.75787822931088367</v>
      </c>
      <c r="I64" s="140">
        <f t="shared" si="0"/>
        <v>3.7893911465544184E-3</v>
      </c>
      <c r="J64" s="140">
        <f>IF(ISBLANK(F64),"-",G64/$B$56)</f>
        <v>0.7627649942086796</v>
      </c>
      <c r="K64" s="140">
        <v>0.75299146441308773</v>
      </c>
    </row>
    <row r="65" spans="1:11" ht="26.25" customHeight="1" x14ac:dyDescent="0.45">
      <c r="A65" s="74" t="s">
        <v>89</v>
      </c>
      <c r="B65" s="75">
        <v>1</v>
      </c>
      <c r="C65" s="262"/>
      <c r="D65" s="265"/>
      <c r="E65" s="135">
        <v>2</v>
      </c>
      <c r="F65" s="87">
        <v>61869389</v>
      </c>
      <c r="G65" s="221">
        <f>IF(ISBLANK(F65),"-",(F65/$D$50*$D$47*$B$68)*($B$57/$D$64))</f>
        <v>152.81056387477656</v>
      </c>
      <c r="H65" s="136">
        <f t="shared" si="1"/>
        <v>0.760466374394274</v>
      </c>
      <c r="I65" s="141">
        <f t="shared" si="0"/>
        <v>3.80233187197137E-3</v>
      </c>
      <c r="J65" s="141">
        <f>IF(ISBLANK(F65),"-",G65/$B$56)</f>
        <v>0.76405281937388281</v>
      </c>
      <c r="K65" s="141">
        <v>0.7568799294146652</v>
      </c>
    </row>
    <row r="66" spans="1:11" ht="26.25" customHeight="1" x14ac:dyDescent="0.45">
      <c r="A66" s="74" t="s">
        <v>90</v>
      </c>
      <c r="B66" s="75">
        <v>1</v>
      </c>
      <c r="C66" s="262"/>
      <c r="D66" s="265"/>
      <c r="E66" s="135">
        <v>3</v>
      </c>
      <c r="F66" s="87">
        <v>61837007</v>
      </c>
      <c r="G66" s="221">
        <f>IF(ISBLANK(F66),"-",(F66/$D$50*$D$47*$B$68)*($B$57/$D$64))</f>
        <v>152.73058390795657</v>
      </c>
      <c r="H66" s="136">
        <f t="shared" si="1"/>
        <v>0.76148765833325138</v>
      </c>
      <c r="I66" s="141">
        <f t="shared" si="0"/>
        <v>3.8074382916662569E-3</v>
      </c>
      <c r="J66" s="141">
        <f>IF(ISBLANK(F66),"-",G66/$B$56)</f>
        <v>0.76365291953978287</v>
      </c>
      <c r="K66" s="141">
        <v>0.75932239712671989</v>
      </c>
    </row>
    <row r="67" spans="1:11" ht="27" customHeight="1" thickBot="1" x14ac:dyDescent="0.5">
      <c r="A67" s="74" t="s">
        <v>91</v>
      </c>
      <c r="B67" s="75">
        <v>1</v>
      </c>
      <c r="C67" s="263"/>
      <c r="D67" s="266"/>
      <c r="E67" s="138">
        <v>4</v>
      </c>
      <c r="F67" s="139"/>
      <c r="G67" s="222" t="str">
        <f>IF(ISBLANK(F67),"-",(F67/$D$50*$D$47*$B$68)*($B$57/$D$64))</f>
        <v>-</v>
      </c>
      <c r="H67" s="136" t="s">
        <v>136</v>
      </c>
      <c r="I67" s="142" t="e">
        <f t="shared" si="0"/>
        <v>#VALUE!</v>
      </c>
      <c r="J67" s="142" t="str">
        <f>IF(ISBLANK(F67),"-",G67/$B$56)</f>
        <v>-</v>
      </c>
      <c r="K67" s="142" t="s">
        <v>136</v>
      </c>
    </row>
    <row r="68" spans="1:11" ht="26.25" customHeight="1" x14ac:dyDescent="0.5">
      <c r="A68" s="74" t="s">
        <v>92</v>
      </c>
      <c r="B68" s="143">
        <f>(B67/B66)*(B65/B64)*(B63/B62)*(B61/B60)*B59</f>
        <v>100</v>
      </c>
      <c r="C68" s="261" t="s">
        <v>93</v>
      </c>
      <c r="D68" s="264">
        <v>126.36</v>
      </c>
      <c r="E68" s="132">
        <v>1</v>
      </c>
      <c r="F68" s="133">
        <v>69606942</v>
      </c>
      <c r="G68" s="218">
        <f>IF(ISBLANK(F68),"-",(F68/$D$50*$D$47*$B$68)*($B$57/$D$68))</f>
        <v>154.95517379941606</v>
      </c>
      <c r="H68" s="379">
        <f t="shared" si="1"/>
        <v>0.77096385108236887</v>
      </c>
      <c r="I68" s="141">
        <f t="shared" si="0"/>
        <v>3.8548192554118442E-3</v>
      </c>
      <c r="J68" s="136">
        <f>IF(ISBLANK(F68),"-",G68/$B$56)</f>
        <v>0.77477586899708029</v>
      </c>
      <c r="K68" s="136">
        <v>0.76715183316765745</v>
      </c>
    </row>
    <row r="69" spans="1:11" ht="27" customHeight="1" thickBot="1" x14ac:dyDescent="0.55000000000000004">
      <c r="A69" s="122" t="s">
        <v>94</v>
      </c>
      <c r="B69" s="144">
        <f>(D47*B68)/B56*B57</f>
        <v>69.402150000000006</v>
      </c>
      <c r="C69" s="262"/>
      <c r="D69" s="265"/>
      <c r="E69" s="135">
        <v>2</v>
      </c>
      <c r="F69" s="87">
        <v>69616827</v>
      </c>
      <c r="G69" s="219">
        <f>IF(ISBLANK(F69),"-",(F69/$D$50*$D$47*$B$68)*($B$57/$D$68))</f>
        <v>154.97717924670329</v>
      </c>
      <c r="H69" s="380">
        <f t="shared" si="1"/>
        <v>0.77319426623625098</v>
      </c>
      <c r="I69" s="141">
        <f t="shared" si="0"/>
        <v>3.8659713311812549E-3</v>
      </c>
      <c r="J69" s="136">
        <f>IF(ISBLANK(F69),"-",G69/$B$56)</f>
        <v>0.77488589623351645</v>
      </c>
      <c r="K69" s="136">
        <v>0.77150263623898552</v>
      </c>
    </row>
    <row r="70" spans="1:11" ht="26.25" customHeight="1" x14ac:dyDescent="0.45">
      <c r="A70" s="274" t="s">
        <v>69</v>
      </c>
      <c r="B70" s="275"/>
      <c r="C70" s="262"/>
      <c r="D70" s="265"/>
      <c r="E70" s="135">
        <v>3</v>
      </c>
      <c r="F70" s="87">
        <v>70337259</v>
      </c>
      <c r="G70" s="219">
        <f>IF(ISBLANK(F70),"-",(F70/$D$50*$D$47*$B$68)*($B$57/$D$68))</f>
        <v>156.58096563011691</v>
      </c>
      <c r="H70" s="380">
        <f t="shared" si="1"/>
        <v>0.77626749529318895</v>
      </c>
      <c r="I70" s="141">
        <f t="shared" si="0"/>
        <v>3.8813374764659447E-3</v>
      </c>
      <c r="J70" s="136">
        <f>IF(ISBLANK(F70),"-",G70/$B$56)</f>
        <v>0.78290482815058449</v>
      </c>
      <c r="K70" s="136">
        <v>0.7696301624357933</v>
      </c>
    </row>
    <row r="71" spans="1:11" ht="27" customHeight="1" thickBot="1" x14ac:dyDescent="0.5">
      <c r="A71" s="276"/>
      <c r="B71" s="277"/>
      <c r="C71" s="273"/>
      <c r="D71" s="266"/>
      <c r="E71" s="138">
        <v>4</v>
      </c>
      <c r="F71" s="139"/>
      <c r="G71" s="382" t="str">
        <f>IF(ISBLANK(F71),"-",(F71/$D$50*$D$47*$B$68)*($B$57/$D$68))</f>
        <v>-</v>
      </c>
      <c r="H71" s="381" t="s">
        <v>136</v>
      </c>
      <c r="I71" s="142" t="e">
        <f t="shared" si="0"/>
        <v>#VALUE!</v>
      </c>
      <c r="J71" s="145" t="str">
        <f>IF(ISBLANK(F71),"-",G71/$B$56)</f>
        <v>-</v>
      </c>
      <c r="K71" s="145" t="s">
        <v>136</v>
      </c>
    </row>
    <row r="72" spans="1:11" ht="26.25" customHeight="1" x14ac:dyDescent="0.45">
      <c r="A72" s="173"/>
      <c r="B72" s="173"/>
      <c r="C72" s="173"/>
      <c r="D72" s="173"/>
      <c r="E72" s="173"/>
      <c r="F72" s="148" t="s">
        <v>62</v>
      </c>
      <c r="G72" s="227">
        <f>AVERAGE(G60:G71)</f>
        <v>155.17785219091141</v>
      </c>
      <c r="H72" s="149">
        <f>AVERAGE(H60:H71)</f>
        <v>0.7661423925723102</v>
      </c>
      <c r="I72" s="149" t="e">
        <f t="shared" ref="I72:K72" si="2">AVERAGE(I60:I71)</f>
        <v>#VALUE!</v>
      </c>
      <c r="J72" s="149">
        <f t="shared" si="2"/>
        <v>0.77588926095455701</v>
      </c>
      <c r="K72" s="149">
        <f t="shared" si="2"/>
        <v>0.75639552419006328</v>
      </c>
    </row>
    <row r="73" spans="1:11" ht="26.25" customHeight="1" x14ac:dyDescent="0.45">
      <c r="C73" s="173"/>
      <c r="D73" s="173"/>
      <c r="E73" s="173"/>
      <c r="F73" s="150" t="s">
        <v>75</v>
      </c>
      <c r="G73" s="223">
        <f>STDEV(G60:G71)/G72</f>
        <v>1.3724772667405231E-2</v>
      </c>
      <c r="H73" s="223">
        <f>STDEV(J60:K71)/H72</f>
        <v>1.9246647901977353E-2</v>
      </c>
      <c r="I73" s="223" t="e">
        <f t="shared" ref="I73:K73" si="3">STDEV(I60:I71)/I72</f>
        <v>#VALUE!</v>
      </c>
      <c r="J73" s="223">
        <f t="shared" si="3"/>
        <v>1.3724772667405249E-2</v>
      </c>
      <c r="K73" s="223">
        <f t="shared" si="3"/>
        <v>1.5355066750660278E-2</v>
      </c>
    </row>
    <row r="74" spans="1:11" ht="27" customHeight="1" thickBot="1" x14ac:dyDescent="0.5">
      <c r="A74" s="173"/>
      <c r="B74" s="173"/>
      <c r="C74" s="173"/>
      <c r="D74" s="173"/>
      <c r="E74" s="151"/>
      <c r="F74" s="152" t="s">
        <v>14</v>
      </c>
      <c r="G74" s="153">
        <v>9</v>
      </c>
      <c r="H74" s="153">
        <v>18</v>
      </c>
      <c r="I74" s="153">
        <f t="shared" ref="I74:K74" si="4">COUNT(I60:I71)</f>
        <v>9</v>
      </c>
      <c r="J74" s="153">
        <f t="shared" si="4"/>
        <v>9</v>
      </c>
      <c r="K74" s="153">
        <f t="shared" si="4"/>
        <v>9</v>
      </c>
    </row>
    <row r="76" spans="1:11" ht="26.25" customHeight="1" x14ac:dyDescent="0.45">
      <c r="A76" s="210" t="s">
        <v>95</v>
      </c>
      <c r="B76" s="165" t="s">
        <v>96</v>
      </c>
      <c r="C76" s="269" t="str">
        <f>B20</f>
        <v>Albendazole</v>
      </c>
      <c r="D76" s="269"/>
      <c r="E76" s="155" t="s">
        <v>97</v>
      </c>
      <c r="F76" s="155"/>
      <c r="G76" s="156">
        <f>H72</f>
        <v>0.7661423925723102</v>
      </c>
      <c r="H76" s="231"/>
    </row>
    <row r="77" spans="1:11" ht="18" x14ac:dyDescent="0.35">
      <c r="A77" s="57" t="s">
        <v>98</v>
      </c>
      <c r="B77" s="57" t="s">
        <v>99</v>
      </c>
    </row>
    <row r="78" spans="1:11" ht="18" x14ac:dyDescent="0.35">
      <c r="A78" s="57"/>
      <c r="B78" s="57"/>
    </row>
    <row r="79" spans="1:11" ht="26.25" customHeight="1" x14ac:dyDescent="0.45">
      <c r="A79" s="210" t="s">
        <v>3</v>
      </c>
      <c r="B79" s="255" t="str">
        <f>B26</f>
        <v>ALBENDAZOLE</v>
      </c>
      <c r="C79" s="255"/>
    </row>
    <row r="80" spans="1:11" ht="26.25" customHeight="1" x14ac:dyDescent="0.45">
      <c r="A80" s="165" t="s">
        <v>39</v>
      </c>
      <c r="B80" s="255" t="str">
        <f>B27</f>
        <v>NQCL/PRS/A16-1</v>
      </c>
      <c r="C80" s="255"/>
    </row>
    <row r="81" spans="1:12" ht="27" customHeight="1" thickBot="1" x14ac:dyDescent="0.5">
      <c r="A81" s="165" t="s">
        <v>4</v>
      </c>
      <c r="B81" s="158">
        <f>B28</f>
        <v>99.6</v>
      </c>
    </row>
    <row r="82" spans="1:12" s="16" customFormat="1" ht="27" customHeight="1" thickBot="1" x14ac:dyDescent="0.55000000000000004">
      <c r="A82" s="165" t="s">
        <v>40</v>
      </c>
      <c r="B82" s="61">
        <v>0</v>
      </c>
      <c r="C82" s="246" t="s">
        <v>41</v>
      </c>
      <c r="D82" s="247"/>
      <c r="E82" s="247"/>
      <c r="F82" s="247"/>
      <c r="G82" s="248"/>
      <c r="I82" s="62"/>
      <c r="J82" s="62"/>
      <c r="K82" s="62"/>
      <c r="L82" s="62"/>
    </row>
    <row r="83" spans="1:12" s="16" customFormat="1" ht="19.5" customHeight="1" thickBot="1" x14ac:dyDescent="0.4">
      <c r="A83" s="165" t="s">
        <v>42</v>
      </c>
      <c r="B83" s="231">
        <f>B81-B82</f>
        <v>99.6</v>
      </c>
      <c r="C83" s="64"/>
      <c r="D83" s="64"/>
      <c r="E83" s="64"/>
      <c r="F83" s="64"/>
      <c r="G83" s="65"/>
      <c r="I83" s="62"/>
      <c r="J83" s="62"/>
      <c r="K83" s="62"/>
      <c r="L83" s="62"/>
    </row>
    <row r="84" spans="1:12" s="16" customFormat="1" ht="27" customHeight="1" thickBot="1" x14ac:dyDescent="0.5">
      <c r="A84" s="165" t="s">
        <v>43</v>
      </c>
      <c r="B84" s="66">
        <v>1</v>
      </c>
      <c r="C84" s="249" t="s">
        <v>100</v>
      </c>
      <c r="D84" s="250"/>
      <c r="E84" s="250"/>
      <c r="F84" s="250"/>
      <c r="G84" s="250"/>
      <c r="H84" s="251"/>
      <c r="I84" s="62"/>
      <c r="J84" s="62"/>
      <c r="K84" s="62"/>
      <c r="L84" s="62"/>
    </row>
    <row r="85" spans="1:12" s="16" customFormat="1" ht="27" customHeight="1" thickBot="1" x14ac:dyDescent="0.5">
      <c r="A85" s="165" t="s">
        <v>45</v>
      </c>
      <c r="B85" s="66">
        <v>1</v>
      </c>
      <c r="C85" s="249" t="s">
        <v>101</v>
      </c>
      <c r="D85" s="250"/>
      <c r="E85" s="250"/>
      <c r="F85" s="250"/>
      <c r="G85" s="250"/>
      <c r="H85" s="251"/>
      <c r="I85" s="62"/>
      <c r="J85" s="62"/>
      <c r="K85" s="62"/>
      <c r="L85" s="62"/>
    </row>
    <row r="86" spans="1:12" s="16" customFormat="1" ht="18" x14ac:dyDescent="0.35">
      <c r="A86" s="165"/>
      <c r="B86" s="69"/>
      <c r="C86" s="70"/>
      <c r="D86" s="70"/>
      <c r="E86" s="70"/>
      <c r="F86" s="70"/>
      <c r="G86" s="70"/>
      <c r="H86" s="70"/>
      <c r="I86" s="62"/>
      <c r="J86" s="62"/>
      <c r="K86" s="62"/>
      <c r="L86" s="62"/>
    </row>
    <row r="87" spans="1:12" s="16" customFormat="1" ht="18" x14ac:dyDescent="0.35">
      <c r="A87" s="165" t="s">
        <v>47</v>
      </c>
      <c r="B87" s="71">
        <f>B84/B85</f>
        <v>1</v>
      </c>
      <c r="C87" s="155" t="s">
        <v>48</v>
      </c>
      <c r="D87" s="155"/>
      <c r="E87" s="155"/>
      <c r="F87" s="155"/>
      <c r="G87" s="155"/>
      <c r="H87" s="176"/>
      <c r="I87" s="62"/>
      <c r="J87" s="62"/>
      <c r="K87" s="62"/>
      <c r="L87" s="62"/>
    </row>
    <row r="88" spans="1:12" ht="19.5" customHeight="1" thickBot="1" x14ac:dyDescent="0.4">
      <c r="A88" s="57"/>
      <c r="B88" s="57"/>
    </row>
    <row r="89" spans="1:12" ht="27" customHeight="1" thickBot="1" x14ac:dyDescent="0.5">
      <c r="A89" s="72" t="s">
        <v>49</v>
      </c>
      <c r="B89" s="73">
        <v>100</v>
      </c>
      <c r="D89" s="233" t="s">
        <v>50</v>
      </c>
      <c r="E89" s="236"/>
      <c r="F89" s="367" t="s">
        <v>51</v>
      </c>
      <c r="G89" s="368"/>
    </row>
    <row r="90" spans="1:12" ht="27" customHeight="1" thickBot="1" x14ac:dyDescent="0.5">
      <c r="A90" s="74" t="s">
        <v>52</v>
      </c>
      <c r="B90" s="75">
        <v>3</v>
      </c>
      <c r="C90" s="232" t="s">
        <v>129</v>
      </c>
      <c r="D90" s="361" t="s">
        <v>133</v>
      </c>
      <c r="E90" s="78" t="s">
        <v>55</v>
      </c>
      <c r="F90" s="369" t="s">
        <v>133</v>
      </c>
      <c r="G90" s="370" t="s">
        <v>55</v>
      </c>
      <c r="I90" s="80" t="s">
        <v>56</v>
      </c>
    </row>
    <row r="91" spans="1:12" ht="26.25" customHeight="1" x14ac:dyDescent="0.45">
      <c r="A91" s="74" t="s">
        <v>57</v>
      </c>
      <c r="B91" s="75">
        <v>100</v>
      </c>
      <c r="C91" s="163">
        <v>1</v>
      </c>
      <c r="D91" s="362">
        <f>0.728-0.003</f>
        <v>0.72499999999999998</v>
      </c>
      <c r="E91" s="359">
        <f>IF(ISBLANK(D91),"-",$D$101/$D$98*D91)</f>
        <v>17.068496748533768</v>
      </c>
      <c r="F91" s="371">
        <f>0.706-0.008</f>
        <v>0.69799999999999995</v>
      </c>
      <c r="G91" s="372">
        <f>IF(ISBLANK(F91),"-",$D$101/$F$98*F91)</f>
        <v>16.627594202467687</v>
      </c>
      <c r="I91" s="85"/>
    </row>
    <row r="92" spans="1:12" ht="26.25" customHeight="1" x14ac:dyDescent="0.45">
      <c r="A92" s="74" t="s">
        <v>58</v>
      </c>
      <c r="B92" s="75">
        <v>1</v>
      </c>
      <c r="C92" s="173">
        <v>2</v>
      </c>
      <c r="D92" s="363">
        <f>0.726-0.003</f>
        <v>0.72299999999999998</v>
      </c>
      <c r="E92" s="358">
        <f>IF(ISBLANK(D92),"-",$D$101/$D$98*D92)</f>
        <v>17.021411240261951</v>
      </c>
      <c r="F92" s="373"/>
      <c r="G92" s="374" t="str">
        <f>IF(ISBLANK(F92),"-",$D$101/$F$98*F92)</f>
        <v>-</v>
      </c>
      <c r="I92" s="256">
        <f>ABS((F96/D96*D95)-F95)/D95</f>
        <v>2.4199034941821913E-2</v>
      </c>
    </row>
    <row r="93" spans="1:12" ht="26.25" customHeight="1" x14ac:dyDescent="0.45">
      <c r="A93" s="74" t="s">
        <v>59</v>
      </c>
      <c r="B93" s="75">
        <v>1</v>
      </c>
      <c r="C93" s="173">
        <v>3</v>
      </c>
      <c r="D93" s="363"/>
      <c r="E93" s="358" t="str">
        <f>IF(ISBLANK(D93),"-",$D$101/$D$98*D93)</f>
        <v>-</v>
      </c>
      <c r="F93" s="373"/>
      <c r="G93" s="374" t="str">
        <f>IF(ISBLANK(F93),"-",$D$101/$F$98*F93)</f>
        <v>-</v>
      </c>
      <c r="I93" s="256"/>
    </row>
    <row r="94" spans="1:12" ht="27" customHeight="1" thickBot="1" x14ac:dyDescent="0.5">
      <c r="A94" s="74" t="s">
        <v>60</v>
      </c>
      <c r="B94" s="75">
        <v>1</v>
      </c>
      <c r="C94" s="164">
        <v>4</v>
      </c>
      <c r="D94" s="364"/>
      <c r="E94" s="360" t="str">
        <f>IF(ISBLANK(D94),"-",$D$101/$D$98*D94)</f>
        <v>-</v>
      </c>
      <c r="F94" s="375"/>
      <c r="G94" s="376" t="str">
        <f>IF(ISBLANK(F94),"-",$D$101/$F$98*F94)</f>
        <v>-</v>
      </c>
      <c r="I94" s="95"/>
    </row>
    <row r="95" spans="1:12" ht="27" customHeight="1" thickBot="1" x14ac:dyDescent="0.5">
      <c r="A95" s="74" t="s">
        <v>61</v>
      </c>
      <c r="B95" s="75">
        <v>1</v>
      </c>
      <c r="C95" s="165" t="s">
        <v>62</v>
      </c>
      <c r="D95" s="365">
        <f>AVERAGE(D91:D94)</f>
        <v>0.72399999999999998</v>
      </c>
      <c r="E95" s="98">
        <f>AVERAGE(E91:E94)</f>
        <v>17.044953994397858</v>
      </c>
      <c r="F95" s="366">
        <f>AVERAGE(F91:F94)</f>
        <v>0.69799999999999995</v>
      </c>
      <c r="G95" s="168">
        <f>AVERAGE(G91:G94)</f>
        <v>16.627594202467687</v>
      </c>
    </row>
    <row r="96" spans="1:12" ht="26.25" customHeight="1" x14ac:dyDescent="0.45">
      <c r="A96" s="74" t="s">
        <v>63</v>
      </c>
      <c r="B96" s="158">
        <v>1</v>
      </c>
      <c r="C96" s="169" t="s">
        <v>102</v>
      </c>
      <c r="D96" s="170">
        <f>D43</f>
        <v>31.59</v>
      </c>
      <c r="E96" s="155"/>
      <c r="F96" s="102">
        <f>F43</f>
        <v>31.22</v>
      </c>
    </row>
    <row r="97" spans="1:10" ht="26.25" customHeight="1" x14ac:dyDescent="0.45">
      <c r="A97" s="74" t="s">
        <v>65</v>
      </c>
      <c r="B97" s="158">
        <v>1</v>
      </c>
      <c r="C97" s="171" t="s">
        <v>103</v>
      </c>
      <c r="D97" s="172">
        <f>D96*$B$87</f>
        <v>31.59</v>
      </c>
      <c r="E97" s="173"/>
      <c r="F97" s="104">
        <f>F96*$B$87</f>
        <v>31.22</v>
      </c>
    </row>
    <row r="98" spans="1:10" ht="19.5" customHeight="1" thickBot="1" x14ac:dyDescent="0.4">
      <c r="A98" s="74" t="s">
        <v>67</v>
      </c>
      <c r="B98" s="173">
        <f>(B97/B96)*(B95/B94)*(B93/B92)*(B91/B90)*B89</f>
        <v>3333.3333333333335</v>
      </c>
      <c r="C98" s="171" t="s">
        <v>104</v>
      </c>
      <c r="D98" s="174">
        <f>D97*$B$83/100</f>
        <v>31.463640000000002</v>
      </c>
      <c r="E98" s="151"/>
      <c r="F98" s="107">
        <f>F97*$B$83/100</f>
        <v>31.095119999999998</v>
      </c>
    </row>
    <row r="99" spans="1:10" ht="19.5" customHeight="1" thickBot="1" x14ac:dyDescent="0.4">
      <c r="A99" s="257" t="s">
        <v>69</v>
      </c>
      <c r="B99" s="271"/>
      <c r="C99" s="171" t="s">
        <v>105</v>
      </c>
      <c r="D99" s="175">
        <f>D98/$B$98</f>
        <v>9.4390919999999996E-3</v>
      </c>
      <c r="E99" s="151"/>
      <c r="F99" s="111">
        <f>F98/$B$98</f>
        <v>9.3285359999999984E-3</v>
      </c>
      <c r="H99" s="100"/>
    </row>
    <row r="100" spans="1:10" ht="19.5" customHeight="1" thickBot="1" x14ac:dyDescent="0.4">
      <c r="A100" s="259"/>
      <c r="B100" s="272"/>
      <c r="C100" s="171" t="s">
        <v>71</v>
      </c>
      <c r="D100" s="177">
        <f>B56/B116</f>
        <v>0.22222222222222221</v>
      </c>
      <c r="F100" s="116"/>
      <c r="G100" s="184"/>
      <c r="H100" s="100"/>
    </row>
    <row r="101" spans="1:10" ht="18" x14ac:dyDescent="0.35">
      <c r="C101" s="171" t="s">
        <v>72</v>
      </c>
      <c r="D101" s="172">
        <f>D100*$B$98</f>
        <v>740.74074074074076</v>
      </c>
      <c r="F101" s="116"/>
      <c r="H101" s="100"/>
    </row>
    <row r="102" spans="1:10" ht="19.5" customHeight="1" thickBot="1" x14ac:dyDescent="0.4">
      <c r="C102" s="179" t="s">
        <v>73</v>
      </c>
      <c r="D102" s="180">
        <f>D101/B34</f>
        <v>740.74074074074076</v>
      </c>
      <c r="F102" s="120"/>
      <c r="H102" s="100"/>
      <c r="J102" s="181"/>
    </row>
    <row r="103" spans="1:10" ht="18" x14ac:dyDescent="0.35">
      <c r="C103" s="182" t="s">
        <v>106</v>
      </c>
      <c r="D103" s="183">
        <f>AVERAGE(E91:E94,G91:G94)</f>
        <v>16.905834063754469</v>
      </c>
      <c r="F103" s="120"/>
      <c r="G103" s="184"/>
      <c r="H103" s="100"/>
      <c r="J103" s="185"/>
    </row>
    <row r="104" spans="1:10" ht="18" x14ac:dyDescent="0.35">
      <c r="C104" s="150" t="s">
        <v>75</v>
      </c>
      <c r="D104" s="186">
        <f>STDEV(E91:E94,G91:G94)/D103</f>
        <v>1.4321100804560751E-2</v>
      </c>
      <c r="F104" s="120"/>
      <c r="H104" s="100"/>
      <c r="J104" s="185"/>
    </row>
    <row r="105" spans="1:10" ht="19.5" customHeight="1" thickBot="1" x14ac:dyDescent="0.4">
      <c r="C105" s="152" t="s">
        <v>14</v>
      </c>
      <c r="D105" s="187">
        <f>COUNT(E91:E94,G91:G94)</f>
        <v>3</v>
      </c>
      <c r="F105" s="120"/>
      <c r="G105" s="286"/>
      <c r="H105" s="100"/>
      <c r="J105" s="185"/>
    </row>
    <row r="106" spans="1:10" ht="19.5" customHeight="1" thickBot="1" x14ac:dyDescent="0.4">
      <c r="A106" s="124"/>
      <c r="B106" s="124"/>
      <c r="C106" s="124"/>
      <c r="D106" s="124"/>
      <c r="E106" s="124"/>
    </row>
    <row r="107" spans="1:10" ht="26.25" customHeight="1" x14ac:dyDescent="0.45">
      <c r="A107" s="72" t="s">
        <v>107</v>
      </c>
      <c r="B107" s="73">
        <v>900</v>
      </c>
      <c r="C107" s="233" t="s">
        <v>117</v>
      </c>
      <c r="D107" s="189" t="s">
        <v>133</v>
      </c>
      <c r="E107" s="190" t="s">
        <v>108</v>
      </c>
      <c r="F107" s="191" t="s">
        <v>109</v>
      </c>
    </row>
    <row r="108" spans="1:10" ht="26.25" customHeight="1" x14ac:dyDescent="0.45">
      <c r="A108" s="74" t="s">
        <v>110</v>
      </c>
      <c r="B108" s="75">
        <v>1</v>
      </c>
      <c r="C108" s="192">
        <v>1</v>
      </c>
      <c r="D108" s="377">
        <f>0.191-0.006</f>
        <v>0.185</v>
      </c>
      <c r="E108" s="224">
        <f t="shared" ref="E108:E113" si="5">IF(ISBLANK(D108),"-",D108/$D$103*$D$100*$B$116)</f>
        <v>2.188593586123428</v>
      </c>
      <c r="F108" s="194">
        <f t="shared" ref="F108:F113" si="6">IF(ISBLANK(D108), "-", E108/$B$56)</f>
        <v>1.094296793061714E-2</v>
      </c>
    </row>
    <row r="109" spans="1:10" ht="26.25" customHeight="1" x14ac:dyDescent="0.45">
      <c r="A109" s="74" t="s">
        <v>84</v>
      </c>
      <c r="B109" s="75">
        <v>1</v>
      </c>
      <c r="C109" s="192">
        <v>2</v>
      </c>
      <c r="D109" s="377">
        <f>0.183-0.006</f>
        <v>0.17699999999999999</v>
      </c>
      <c r="E109" s="225">
        <f t="shared" si="5"/>
        <v>2.0939517013180904</v>
      </c>
      <c r="F109" s="195">
        <f t="shared" si="6"/>
        <v>1.0469758506590453E-2</v>
      </c>
    </row>
    <row r="110" spans="1:10" ht="26.25" customHeight="1" x14ac:dyDescent="0.45">
      <c r="A110" s="74" t="s">
        <v>85</v>
      </c>
      <c r="B110" s="75">
        <v>1</v>
      </c>
      <c r="C110" s="192">
        <v>3</v>
      </c>
      <c r="D110" s="377">
        <f>0.097-0.04</f>
        <v>5.7000000000000002E-2</v>
      </c>
      <c r="E110" s="225">
        <f t="shared" si="5"/>
        <v>0.67432342923802913</v>
      </c>
      <c r="F110" s="195">
        <f t="shared" si="6"/>
        <v>3.3716171461901454E-3</v>
      </c>
    </row>
    <row r="111" spans="1:10" ht="26.25" customHeight="1" x14ac:dyDescent="0.45">
      <c r="A111" s="74" t="s">
        <v>86</v>
      </c>
      <c r="B111" s="75">
        <v>1</v>
      </c>
      <c r="C111" s="192">
        <v>4</v>
      </c>
      <c r="D111" s="377">
        <f>0.19-0.01</f>
        <v>0.18</v>
      </c>
      <c r="E111" s="225">
        <f t="shared" si="5"/>
        <v>2.129442408120092</v>
      </c>
      <c r="F111" s="195">
        <f t="shared" si="6"/>
        <v>1.064721204060046E-2</v>
      </c>
    </row>
    <row r="112" spans="1:10" ht="26.25" customHeight="1" x14ac:dyDescent="0.45">
      <c r="A112" s="74" t="s">
        <v>87</v>
      </c>
      <c r="B112" s="75">
        <v>1</v>
      </c>
      <c r="C112" s="192">
        <v>5</v>
      </c>
      <c r="D112" s="377">
        <f>0.266-0.008</f>
        <v>0.25800000000000001</v>
      </c>
      <c r="E112" s="225">
        <f t="shared" si="5"/>
        <v>3.0522007849721318</v>
      </c>
      <c r="F112" s="195">
        <f t="shared" si="6"/>
        <v>1.5261003924860659E-2</v>
      </c>
    </row>
    <row r="113" spans="1:10" ht="26.25" customHeight="1" x14ac:dyDescent="0.45">
      <c r="A113" s="74" t="s">
        <v>89</v>
      </c>
      <c r="B113" s="75">
        <v>1</v>
      </c>
      <c r="C113" s="196">
        <v>6</v>
      </c>
      <c r="D113" s="378">
        <f>0.168-0.007</f>
        <v>0.161</v>
      </c>
      <c r="E113" s="226">
        <f t="shared" si="5"/>
        <v>1.9046679317074158</v>
      </c>
      <c r="F113" s="198">
        <f t="shared" si="6"/>
        <v>9.5233396585370795E-3</v>
      </c>
    </row>
    <row r="114" spans="1:10" ht="26.25" customHeight="1" x14ac:dyDescent="0.45">
      <c r="A114" s="74" t="s">
        <v>90</v>
      </c>
      <c r="B114" s="75">
        <v>1</v>
      </c>
      <c r="C114" s="192"/>
      <c r="D114" s="173"/>
      <c r="E114" s="155"/>
      <c r="F114" s="199"/>
    </row>
    <row r="115" spans="1:10" ht="26.25" customHeight="1" x14ac:dyDescent="0.45">
      <c r="A115" s="74" t="s">
        <v>91</v>
      </c>
      <c r="B115" s="75">
        <v>1</v>
      </c>
      <c r="C115" s="192"/>
      <c r="D115" s="200" t="s">
        <v>62</v>
      </c>
      <c r="E115" s="228">
        <f>AVERAGE(E108:E113)</f>
        <v>2.0071966402465313</v>
      </c>
      <c r="F115" s="201">
        <f>AVERAGE(F108:F113)</f>
        <v>1.0035983201232656E-2</v>
      </c>
    </row>
    <row r="116" spans="1:10" ht="27" customHeight="1" thickBot="1" x14ac:dyDescent="0.5">
      <c r="A116" s="74" t="s">
        <v>92</v>
      </c>
      <c r="B116" s="106">
        <f>(B115/B114)*(B113/B112)*(B111/B110)*(B109/B108)*B107</f>
        <v>900</v>
      </c>
      <c r="C116" s="202"/>
      <c r="D116" s="165" t="s">
        <v>75</v>
      </c>
      <c r="E116" s="203">
        <f>STDEV(E108:E113)/E115</f>
        <v>0.38167179728245293</v>
      </c>
      <c r="F116" s="203">
        <f>STDEV(F108:F113)/F115</f>
        <v>0.38167179728245337</v>
      </c>
      <c r="I116" s="155"/>
    </row>
    <row r="117" spans="1:10" ht="27" customHeight="1" thickBot="1" x14ac:dyDescent="0.5">
      <c r="A117" s="257" t="s">
        <v>69</v>
      </c>
      <c r="B117" s="258"/>
      <c r="C117" s="204"/>
      <c r="D117" s="205" t="s">
        <v>14</v>
      </c>
      <c r="E117" s="206">
        <f>COUNT(E108:E113)</f>
        <v>6</v>
      </c>
      <c r="F117" s="206">
        <f>COUNT(F108:F113)</f>
        <v>6</v>
      </c>
      <c r="I117" s="155"/>
      <c r="J117" s="185"/>
    </row>
    <row r="118" spans="1:10" ht="19.5" customHeight="1" thickBot="1" x14ac:dyDescent="0.4">
      <c r="A118" s="259"/>
      <c r="B118" s="260"/>
      <c r="C118" s="155"/>
      <c r="D118" s="155"/>
      <c r="E118" s="155"/>
      <c r="F118" s="173"/>
      <c r="G118" s="155"/>
      <c r="H118" s="155"/>
      <c r="I118" s="155"/>
    </row>
    <row r="119" spans="1:10" ht="18" x14ac:dyDescent="0.35">
      <c r="A119" s="215"/>
      <c r="B119" s="70"/>
      <c r="C119" s="155"/>
      <c r="D119" s="155"/>
      <c r="E119" s="155"/>
      <c r="F119" s="173"/>
      <c r="G119" s="155"/>
      <c r="H119" s="155"/>
      <c r="I119" s="155"/>
    </row>
    <row r="120" spans="1:10" ht="26.25" customHeight="1" x14ac:dyDescent="0.45">
      <c r="A120" s="210" t="s">
        <v>95</v>
      </c>
      <c r="B120" s="165" t="s">
        <v>111</v>
      </c>
      <c r="C120" s="269" t="str">
        <f>B20</f>
        <v>Albendazole</v>
      </c>
      <c r="D120" s="269"/>
      <c r="E120" s="155" t="s">
        <v>112</v>
      </c>
      <c r="F120" s="155"/>
      <c r="G120" s="156">
        <f>F115</f>
        <v>1.0035983201232656E-2</v>
      </c>
      <c r="H120" s="155"/>
      <c r="I120" s="155"/>
    </row>
    <row r="121" spans="1:10" ht="19.5" customHeight="1" thickBot="1" x14ac:dyDescent="0.4">
      <c r="A121" s="234"/>
      <c r="B121" s="234"/>
      <c r="C121" s="208"/>
      <c r="D121" s="208"/>
      <c r="E121" s="208"/>
      <c r="F121" s="208"/>
      <c r="G121" s="208"/>
      <c r="H121" s="208"/>
    </row>
    <row r="122" spans="1:10" ht="18" x14ac:dyDescent="0.35">
      <c r="B122" s="270" t="s">
        <v>19</v>
      </c>
      <c r="C122" s="270"/>
      <c r="E122" s="232" t="s">
        <v>20</v>
      </c>
      <c r="F122" s="209"/>
      <c r="G122" s="270" t="s">
        <v>21</v>
      </c>
      <c r="H122" s="270"/>
    </row>
    <row r="123" spans="1:10" ht="69.900000000000006" customHeight="1" x14ac:dyDescent="0.35">
      <c r="A123" s="210" t="s">
        <v>22</v>
      </c>
      <c r="B123" s="212"/>
      <c r="C123" s="212"/>
      <c r="E123" s="212"/>
      <c r="F123" s="155"/>
      <c r="G123" s="212"/>
      <c r="H123" s="212"/>
    </row>
    <row r="124" spans="1:10" ht="69.900000000000006" customHeight="1" x14ac:dyDescent="0.35">
      <c r="A124" s="210" t="s">
        <v>23</v>
      </c>
      <c r="B124" s="213"/>
      <c r="C124" s="213"/>
      <c r="E124" s="213"/>
      <c r="F124" s="155"/>
      <c r="G124" s="214"/>
      <c r="H124" s="214"/>
    </row>
    <row r="125" spans="1:10" ht="18" x14ac:dyDescent="0.35">
      <c r="A125" s="173"/>
      <c r="B125" s="173"/>
      <c r="C125" s="173"/>
      <c r="D125" s="173"/>
      <c r="E125" s="173"/>
      <c r="F125" s="151"/>
      <c r="G125" s="173"/>
      <c r="H125" s="173"/>
      <c r="I125" s="155"/>
    </row>
    <row r="126" spans="1:10" ht="18" x14ac:dyDescent="0.35">
      <c r="A126" s="173"/>
      <c r="B126" s="173"/>
      <c r="C126" s="173"/>
      <c r="D126" s="173"/>
      <c r="E126" s="173"/>
      <c r="F126" s="151"/>
      <c r="G126" s="173"/>
      <c r="H126" s="173"/>
      <c r="I126" s="155"/>
    </row>
    <row r="127" spans="1:10" ht="18" x14ac:dyDescent="0.35">
      <c r="A127" s="173"/>
      <c r="B127" s="173"/>
      <c r="C127" s="173"/>
      <c r="D127" s="173"/>
      <c r="E127" s="173"/>
      <c r="F127" s="151"/>
      <c r="G127" s="173"/>
      <c r="H127" s="173"/>
      <c r="I127" s="155"/>
    </row>
    <row r="128" spans="1:10" ht="18" x14ac:dyDescent="0.35">
      <c r="A128" s="173"/>
      <c r="B128" s="173"/>
      <c r="C128" s="173"/>
      <c r="D128" s="173"/>
      <c r="E128" s="173"/>
      <c r="F128" s="151"/>
      <c r="G128" s="173"/>
      <c r="H128" s="173"/>
      <c r="I128" s="155"/>
    </row>
    <row r="129" spans="1:9" ht="18" x14ac:dyDescent="0.35">
      <c r="A129" s="173"/>
      <c r="B129" s="173"/>
      <c r="C129" s="173"/>
      <c r="D129" s="173"/>
      <c r="E129" s="173"/>
      <c r="F129" s="151"/>
      <c r="G129" s="173"/>
      <c r="H129" s="173"/>
      <c r="I129" s="155"/>
    </row>
    <row r="130" spans="1:9" ht="18" x14ac:dyDescent="0.35">
      <c r="A130" s="173"/>
      <c r="B130" s="173"/>
      <c r="C130" s="173"/>
      <c r="D130" s="173"/>
      <c r="E130" s="173"/>
      <c r="F130" s="151"/>
      <c r="G130" s="173"/>
      <c r="H130" s="173"/>
      <c r="I130" s="155"/>
    </row>
    <row r="131" spans="1:9" ht="18" x14ac:dyDescent="0.35">
      <c r="A131" s="173"/>
      <c r="B131" s="173"/>
      <c r="C131" s="173"/>
      <c r="D131" s="173"/>
      <c r="E131" s="173"/>
      <c r="F131" s="151"/>
      <c r="G131" s="173"/>
      <c r="H131" s="173"/>
      <c r="I131" s="155"/>
    </row>
    <row r="132" spans="1:9" ht="18" x14ac:dyDescent="0.35">
      <c r="A132" s="173"/>
      <c r="B132" s="173"/>
      <c r="C132" s="173"/>
      <c r="D132" s="173"/>
      <c r="E132" s="173"/>
      <c r="F132" s="151"/>
      <c r="G132" s="173"/>
      <c r="H132" s="173"/>
      <c r="I132" s="155"/>
    </row>
    <row r="133" spans="1:9" ht="18" x14ac:dyDescent="0.35">
      <c r="A133" s="173"/>
      <c r="B133" s="173"/>
      <c r="C133" s="173"/>
      <c r="D133" s="173"/>
      <c r="E133" s="173"/>
      <c r="F133" s="151"/>
      <c r="G133" s="173"/>
      <c r="H133" s="173"/>
      <c r="I133" s="155"/>
    </row>
    <row r="250" spans="1:1" x14ac:dyDescent="0.3">
      <c r="A250" s="176">
        <v>5</v>
      </c>
    </row>
  </sheetData>
  <sheetProtection formatColumns="0" formatRows="0" insertColumns="0" insertHyperlinks="0" deleteColumns="0" deleteRows="0" autoFilter="0" pivotTables="0"/>
  <mergeCells count="36">
    <mergeCell ref="I92:I93"/>
    <mergeCell ref="A99:B100"/>
    <mergeCell ref="A117:B118"/>
    <mergeCell ref="C120:D120"/>
    <mergeCell ref="B122:C122"/>
    <mergeCell ref="G122:H122"/>
    <mergeCell ref="B79:C79"/>
    <mergeCell ref="B80:C80"/>
    <mergeCell ref="C82:G82"/>
    <mergeCell ref="C84:H84"/>
    <mergeCell ref="C85:H85"/>
    <mergeCell ref="F89:G89"/>
    <mergeCell ref="C64:C67"/>
    <mergeCell ref="D64:D67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B21:H21"/>
    <mergeCell ref="B26:C26"/>
    <mergeCell ref="B27:C27"/>
    <mergeCell ref="C29:G29"/>
    <mergeCell ref="C31:H31"/>
    <mergeCell ref="C32:H32"/>
    <mergeCell ref="A1:I7"/>
    <mergeCell ref="A8:I14"/>
    <mergeCell ref="A16:H16"/>
    <mergeCell ref="A17:H17"/>
    <mergeCell ref="B18:C18"/>
    <mergeCell ref="B20:C20"/>
  </mergeCells>
  <conditionalFormatting sqref="E51">
    <cfRule type="cellIs" dxfId="13" priority="1" operator="greaterThan">
      <formula>0.02</formula>
    </cfRule>
  </conditionalFormatting>
  <conditionalFormatting sqref="D51">
    <cfRule type="cellIs" dxfId="12" priority="2" operator="greaterThan">
      <formula>0.02</formula>
    </cfRule>
  </conditionalFormatting>
  <conditionalFormatting sqref="G73">
    <cfRule type="cellIs" dxfId="11" priority="3" operator="greaterThan">
      <formula>0.02</formula>
    </cfRule>
  </conditionalFormatting>
  <conditionalFormatting sqref="H73:K73">
    <cfRule type="cellIs" dxfId="10" priority="4" operator="greaterThan">
      <formula>0.02</formula>
    </cfRule>
  </conditionalFormatting>
  <conditionalFormatting sqref="D104">
    <cfRule type="cellIs" dxfId="9" priority="5" operator="greaterThan">
      <formula>0.02</formula>
    </cfRule>
  </conditionalFormatting>
  <conditionalFormatting sqref="I39">
    <cfRule type="cellIs" dxfId="8" priority="6" operator="lessThanOrEqual">
      <formula>0.02</formula>
    </cfRule>
  </conditionalFormatting>
  <conditionalFormatting sqref="I39">
    <cfRule type="cellIs" dxfId="7" priority="7" operator="greaterThan">
      <formula>0.02</formula>
    </cfRule>
  </conditionalFormatting>
  <conditionalFormatting sqref="I92">
    <cfRule type="cellIs" dxfId="6" priority="8" operator="lessThanOrEqual">
      <formula>0.02</formula>
    </cfRule>
  </conditionalFormatting>
  <conditionalFormatting sqref="I92">
    <cfRule type="cellIs" dxfId="5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</vt:lpstr>
      <vt:lpstr>Uniformity</vt:lpstr>
      <vt:lpstr>Mutua</vt:lpstr>
      <vt:lpstr>Uniformity (Kefa)</vt:lpstr>
      <vt:lpstr>KEFA</vt:lpstr>
      <vt:lpstr>KEFA!Print_Area</vt:lpstr>
      <vt:lpstr>'SST '!Print_Area</vt:lpstr>
      <vt:lpstr>Uniformity!Print_Area</vt:lpstr>
      <vt:lpstr>'Uniformity (Kefa)'!Print_Area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2016-06-14T10:06:12Z</cp:lastPrinted>
  <dcterms:created xsi:type="dcterms:W3CDTF">2005-07-05T10:19:27Z</dcterms:created>
  <dcterms:modified xsi:type="dcterms:W3CDTF">2016-06-14T10:06:22Z</dcterms:modified>
</cp:coreProperties>
</file>