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/>
  </bookViews>
  <sheets>
    <sheet name="SST" sheetId="1" r:id="rId1"/>
    <sheet name="Uniformity" sheetId="2" r:id="rId2"/>
    <sheet name="Atenolol" sheetId="3" r:id="rId3"/>
  </sheets>
  <definedNames>
    <definedName name="_xlnm.Print_Area" localSheetId="2">Atenolol!$A$1:$I$124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B20" i="1"/>
  <c r="E113" i="3"/>
  <c r="E112" i="3"/>
  <c r="E111" i="3"/>
  <c r="E110" i="3"/>
  <c r="F109" i="3"/>
  <c r="E108" i="3"/>
  <c r="B116" i="3"/>
  <c r="B87" i="3"/>
  <c r="G76" i="3"/>
  <c r="H66" i="3"/>
  <c r="H62" i="3"/>
  <c r="G70" i="3"/>
  <c r="H68" i="3"/>
  <c r="H65" i="3"/>
  <c r="G61" i="3"/>
  <c r="H64" i="3"/>
  <c r="G60" i="3"/>
  <c r="B68" i="3"/>
  <c r="B45" i="3"/>
  <c r="B34" i="3"/>
  <c r="C120" i="3"/>
  <c r="D101" i="3"/>
  <c r="B98" i="3"/>
  <c r="F95" i="3"/>
  <c r="D95" i="3"/>
  <c r="F97" i="3"/>
  <c r="B81" i="3"/>
  <c r="B83" i="3" s="1"/>
  <c r="B80" i="3"/>
  <c r="B79" i="3"/>
  <c r="C76" i="3"/>
  <c r="B57" i="3"/>
  <c r="B69" i="3" s="1"/>
  <c r="C56" i="3"/>
  <c r="B55" i="3"/>
  <c r="D48" i="3"/>
  <c r="G38" i="3" s="1"/>
  <c r="F42" i="3"/>
  <c r="D42" i="3"/>
  <c r="I39" i="3" s="1"/>
  <c r="F44" i="3"/>
  <c r="F45" i="3" s="1"/>
  <c r="B30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E38" i="3"/>
  <c r="F46" i="3"/>
  <c r="D44" i="3"/>
  <c r="D45" i="3"/>
  <c r="D46" i="3" s="1"/>
  <c r="G39" i="3"/>
  <c r="G40" i="3"/>
  <c r="E39" i="3"/>
  <c r="D49" i="3"/>
  <c r="G41" i="3"/>
  <c r="F98" i="3"/>
  <c r="F99" i="3" s="1"/>
  <c r="D102" i="3"/>
  <c r="D97" i="3"/>
  <c r="D98" i="3" s="1"/>
  <c r="D99" i="3" s="1"/>
  <c r="E92" i="3" l="1"/>
  <c r="E41" i="3"/>
  <c r="E40" i="3"/>
  <c r="D52" i="3" s="1"/>
  <c r="G93" i="3"/>
  <c r="E91" i="3"/>
  <c r="G94" i="3"/>
  <c r="E94" i="3"/>
  <c r="G42" i="3"/>
  <c r="G91" i="3"/>
  <c r="D50" i="3"/>
  <c r="E42" i="3"/>
  <c r="E93" i="3"/>
  <c r="G92" i="3"/>
  <c r="E95" i="3" l="1"/>
  <c r="D103" i="3"/>
  <c r="F113" i="3" s="1"/>
  <c r="D105" i="3"/>
  <c r="G95" i="3"/>
  <c r="D51" i="3"/>
  <c r="H70" i="3"/>
  <c r="G67" i="3"/>
  <c r="H67" i="3" s="1"/>
  <c r="G65" i="3"/>
  <c r="G63" i="3"/>
  <c r="H63" i="3" s="1"/>
  <c r="H61" i="3"/>
  <c r="G68" i="3"/>
  <c r="G71" i="3"/>
  <c r="H71" i="3" s="1"/>
  <c r="G69" i="3"/>
  <c r="H69" i="3" s="1"/>
  <c r="G66" i="3"/>
  <c r="G64" i="3"/>
  <c r="G62" i="3"/>
  <c r="H60" i="3"/>
  <c r="F112" i="3"/>
  <c r="E109" i="3"/>
  <c r="F111" i="3" l="1"/>
  <c r="F108" i="3"/>
  <c r="D104" i="3"/>
  <c r="F110" i="3"/>
  <c r="H72" i="3"/>
  <c r="H74" i="3"/>
  <c r="F115" i="3" l="1"/>
  <c r="G120" i="3" s="1"/>
  <c r="F117" i="3"/>
  <c r="H73" i="3"/>
  <c r="F116" i="3" l="1"/>
</calcChain>
</file>

<file path=xl/sharedStrings.xml><?xml version="1.0" encoding="utf-8"?>
<sst xmlns="http://schemas.openxmlformats.org/spreadsheetml/2006/main" count="237" uniqueCount="129">
  <si>
    <t>HPLC System Suitability Report</t>
  </si>
  <si>
    <t>Analysis Data</t>
  </si>
  <si>
    <t>Assay</t>
  </si>
  <si>
    <t>Sample(s)</t>
  </si>
  <si>
    <t>Reference Substance:</t>
  </si>
  <si>
    <t>TENBLOKA 50 TABLETS</t>
  </si>
  <si>
    <t>% age Purity:</t>
  </si>
  <si>
    <t>NDQD201506267</t>
  </si>
  <si>
    <t>Weight (mg):</t>
  </si>
  <si>
    <t>Atenolol</t>
  </si>
  <si>
    <t>Standard Conc (mg/mL):</t>
  </si>
  <si>
    <t>Each tablet contains:Atenolol 50 mg</t>
  </si>
  <si>
    <t>2015-06-05 09:53:44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</si>
  <si>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</si>
  <si>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</si>
  <si>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</si>
  <si>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</si>
  <si>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</si>
  <si>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</si>
  <si>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</si>
  <si>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</si>
  <si>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</si>
  <si>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</si>
  <si>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</si>
  <si>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</si>
  <si>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</si>
  <si>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</si>
  <si>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</si>
  <si>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</si>
  <si>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</si>
  <si>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</si>
  <si>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</si>
  <si>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</si>
  <si>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</si>
  <si>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</si>
  <si>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</si>
  <si>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</si>
  <si>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</si>
  <si>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</si>
  <si>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</si>
  <si>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</si>
  <si>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</si>
  <si>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</si>
  <si>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</si>
  <si>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</si>
  <si>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</si>
  <si>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</si>
  <si>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</si>
  <si>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</si>
  <si>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</si>
  <si>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</si>
  <si>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</si>
  <si>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</si>
  <si>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</si>
  <si>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</si>
  <si>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</si>
  <si>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</si>
  <si>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</si>
  <si>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</si>
  <si>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</si>
  <si>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</si>
  <si>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</si>
  <si>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</si>
  <si>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</si>
  <si>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</si>
  <si>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</si>
  <si>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</si>
  <si>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</si>
  <si>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</si>
  <si>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</si>
  <si>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</si>
  <si>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</si>
  <si>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</si>
  <si>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</si>
  <si>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</si>
  <si>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</si>
  <si>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</si>
  <si>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</si>
  <si>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</si>
  <si>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</si>
  <si>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</si>
  <si>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</si>
  <si>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</si>
  <si>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</si>
  <si>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</si>
  <si>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</si>
  <si>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</si>
  <si>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</si>
  <si>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</si>
  <si>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</si>
  <si>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</si>
  <si>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</si>
  <si>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</si>
  <si>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</si>
  <si>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</si>
  <si>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</si>
  <si>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</si>
  <si>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</si>
  <si>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</si>
  <si>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</si>
  <si>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</si>
  <si>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</si>
  <si>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</si>
  <si>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</si>
  <si>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</si>
  <si>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</si>
  <si>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</si>
  <si>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</si>
  <si>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</si>
  <si>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</si>
  <si>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</si>
  <si>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</si>
  <si>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</si>
  <si>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</si>
  <si>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</si>
  <si>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</si>
  <si>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</si>
  <si>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</si>
  <si>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</si>
  <si>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</si>
  <si>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</si>
  <si>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</si>
  <si>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</si>
  <si>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</si>
  <si>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</si>
  <si>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Beatrice</t>
  </si>
  <si>
    <t>26th June 2015</t>
  </si>
  <si>
    <t>A20</t>
  </si>
  <si>
    <t>28th June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</si>
</sst>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22" fontId="6" fillId="2" borderId="0" xfId="0" applyNumberFormat="1" applyFont="1" applyFill="1"/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46" workbookViewId="0">
      <selection activeCell="F55" sqref="F5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>
        <f>15.54</f>
        <v>15.54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B20/50*2/50</f>
        <v>1.2431999999999999E-2</v>
      </c>
      <c r="C21" s="10"/>
      <c r="D21" s="10"/>
      <c r="E21" s="10"/>
    </row>
    <row r="22" spans="1:6" ht="15.75" customHeight="1" x14ac:dyDescent="0.25">
      <c r="A22" s="10"/>
      <c r="B22" s="331">
        <v>42181.412314814814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3647054</v>
      </c>
      <c r="C24" s="18">
        <v>6319.29</v>
      </c>
      <c r="D24" s="19">
        <v>1.26</v>
      </c>
      <c r="E24" s="20">
        <v>8.57</v>
      </c>
    </row>
    <row r="25" spans="1:6" ht="16.5" customHeight="1" x14ac:dyDescent="0.3">
      <c r="A25" s="17">
        <v>2</v>
      </c>
      <c r="B25" s="18">
        <v>3644199</v>
      </c>
      <c r="C25" s="18">
        <v>7187.1</v>
      </c>
      <c r="D25" s="19">
        <v>1.26</v>
      </c>
      <c r="E25" s="19">
        <v>9.02</v>
      </c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>
        <v>3522745</v>
      </c>
      <c r="C27" s="18">
        <v>6873.55</v>
      </c>
      <c r="D27" s="19">
        <v>1.19</v>
      </c>
      <c r="E27" s="19">
        <v>8.93</v>
      </c>
    </row>
    <row r="28" spans="1:6" ht="16.5" customHeight="1" x14ac:dyDescent="0.3">
      <c r="A28" s="17">
        <v>5</v>
      </c>
      <c r="B28" s="18">
        <v>3619464</v>
      </c>
      <c r="C28" s="18">
        <v>6645.37</v>
      </c>
      <c r="D28" s="19">
        <v>1.24</v>
      </c>
      <c r="E28" s="19">
        <v>8.74</v>
      </c>
    </row>
    <row r="29" spans="1:6" ht="16.5" customHeight="1" x14ac:dyDescent="0.3">
      <c r="A29" s="17">
        <v>6</v>
      </c>
      <c r="B29" s="21">
        <v>3638772</v>
      </c>
      <c r="C29" s="21">
        <v>6393.92</v>
      </c>
      <c r="D29" s="22">
        <v>1.26</v>
      </c>
      <c r="E29" s="22">
        <v>8.6</v>
      </c>
    </row>
    <row r="30" spans="1:6" ht="16.5" customHeight="1" x14ac:dyDescent="0.3">
      <c r="A30" s="23" t="s">
        <v>18</v>
      </c>
      <c r="B30" s="24">
        <f>AVERAGE(B24:B29)</f>
        <v>3614446.8</v>
      </c>
      <c r="C30" s="25">
        <f>AVERAGE(C24:C29)</f>
        <v>6683.8459999999995</v>
      </c>
      <c r="D30" s="26">
        <f>AVERAGE(D24:D29)</f>
        <v>1.242</v>
      </c>
      <c r="E30" s="26">
        <f>AVERAGE(E24:E29)</f>
        <v>8.7720000000000002</v>
      </c>
    </row>
    <row r="31" spans="1:6" ht="16.5" customHeight="1" x14ac:dyDescent="0.3">
      <c r="A31" s="27" t="s">
        <v>19</v>
      </c>
      <c r="B31" s="28">
        <f>(STDEV(B24:B29)/B30)</f>
        <v>1.4491760424967255E-2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125</v>
      </c>
      <c r="C60" s="48"/>
      <c r="E60" s="48" t="s">
        <v>128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53" sqref="D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187.23</v>
      </c>
      <c r="D24" s="87">
        <f t="shared" ref="D24:D43" si="0">(C24-$C$46)/$C$46</f>
        <v>3.936693155544204E-2</v>
      </c>
      <c r="E24" s="53"/>
    </row>
    <row r="25" spans="1:5" ht="15.75" customHeight="1" x14ac:dyDescent="0.3">
      <c r="C25" s="95">
        <v>189.27</v>
      </c>
      <c r="D25" s="88">
        <f t="shared" si="0"/>
        <v>5.0691551223086773E-2</v>
      </c>
      <c r="E25" s="53"/>
    </row>
    <row r="26" spans="1:5" ht="15.75" customHeight="1" x14ac:dyDescent="0.3">
      <c r="C26" s="95">
        <v>173.57</v>
      </c>
      <c r="D26" s="88">
        <f t="shared" si="0"/>
        <v>-3.646360994457043E-2</v>
      </c>
      <c r="E26" s="53"/>
    </row>
    <row r="27" spans="1:5" ht="15.75" customHeight="1" x14ac:dyDescent="0.3">
      <c r="C27" s="95">
        <v>178.26</v>
      </c>
      <c r="D27" s="88">
        <f t="shared" si="0"/>
        <v>-1.0428087277289434E-2</v>
      </c>
      <c r="E27" s="53"/>
    </row>
    <row r="28" spans="1:5" ht="15.75" customHeight="1" x14ac:dyDescent="0.3">
      <c r="C28" s="95">
        <v>178.23</v>
      </c>
      <c r="D28" s="88">
        <f t="shared" si="0"/>
        <v>-1.0594625801813626E-2</v>
      </c>
      <c r="E28" s="53"/>
    </row>
    <row r="29" spans="1:5" ht="15.75" customHeight="1" x14ac:dyDescent="0.3">
      <c r="C29" s="95">
        <v>172.81</v>
      </c>
      <c r="D29" s="88">
        <f t="shared" si="0"/>
        <v>-4.0682585899183082E-2</v>
      </c>
      <c r="E29" s="53"/>
    </row>
    <row r="30" spans="1:5" ht="15.75" customHeight="1" x14ac:dyDescent="0.3">
      <c r="C30" s="95">
        <v>190.05</v>
      </c>
      <c r="D30" s="88">
        <f t="shared" si="0"/>
        <v>5.5021552860715604E-2</v>
      </c>
      <c r="E30" s="53"/>
    </row>
    <row r="31" spans="1:5" ht="15.75" customHeight="1" x14ac:dyDescent="0.3">
      <c r="C31" s="95">
        <v>183.77</v>
      </c>
      <c r="D31" s="88">
        <f t="shared" si="0"/>
        <v>2.0159488393652756E-2</v>
      </c>
      <c r="E31" s="53"/>
    </row>
    <row r="32" spans="1:5" ht="15.75" customHeight="1" x14ac:dyDescent="0.3">
      <c r="C32" s="95">
        <v>187.41</v>
      </c>
      <c r="D32" s="88">
        <f t="shared" si="0"/>
        <v>4.0366162702587194E-2</v>
      </c>
      <c r="E32" s="53"/>
    </row>
    <row r="33" spans="1:7" ht="15.75" customHeight="1" x14ac:dyDescent="0.3">
      <c r="C33" s="95">
        <v>171.12</v>
      </c>
      <c r="D33" s="88">
        <f t="shared" si="0"/>
        <v>-5.0064256114045524E-2</v>
      </c>
      <c r="E33" s="53"/>
    </row>
    <row r="34" spans="1:7" ht="15.75" customHeight="1" x14ac:dyDescent="0.3">
      <c r="C34" s="95">
        <v>188.58</v>
      </c>
      <c r="D34" s="88">
        <f t="shared" si="0"/>
        <v>4.6861165159030521E-2</v>
      </c>
      <c r="E34" s="53"/>
    </row>
    <row r="35" spans="1:7" ht="15.75" customHeight="1" x14ac:dyDescent="0.3">
      <c r="C35" s="95">
        <v>177.94</v>
      </c>
      <c r="D35" s="88">
        <f t="shared" si="0"/>
        <v>-1.2204498205547375E-2</v>
      </c>
      <c r="E35" s="53"/>
    </row>
    <row r="36" spans="1:7" ht="15.75" customHeight="1" x14ac:dyDescent="0.3">
      <c r="C36" s="95">
        <v>180.1</v>
      </c>
      <c r="D36" s="88">
        <f t="shared" si="0"/>
        <v>-2.1372443980603308E-4</v>
      </c>
      <c r="E36" s="53"/>
    </row>
    <row r="37" spans="1:7" ht="15.75" customHeight="1" x14ac:dyDescent="0.3">
      <c r="C37" s="95">
        <v>171.23</v>
      </c>
      <c r="D37" s="88">
        <f t="shared" si="0"/>
        <v>-4.9453614857456925E-2</v>
      </c>
      <c r="E37" s="53"/>
    </row>
    <row r="38" spans="1:7" ht="15.75" customHeight="1" x14ac:dyDescent="0.3">
      <c r="C38" s="95">
        <v>176.21</v>
      </c>
      <c r="D38" s="88">
        <f t="shared" si="0"/>
        <v>-2.1808219786442019E-2</v>
      </c>
      <c r="E38" s="53"/>
    </row>
    <row r="39" spans="1:7" ht="15.75" customHeight="1" x14ac:dyDescent="0.3">
      <c r="C39" s="95">
        <v>177.69</v>
      </c>
      <c r="D39" s="88">
        <f t="shared" si="0"/>
        <v>-1.3592319243248921E-2</v>
      </c>
      <c r="E39" s="53"/>
    </row>
    <row r="40" spans="1:7" ht="15.75" customHeight="1" x14ac:dyDescent="0.3">
      <c r="C40" s="95">
        <v>188.4</v>
      </c>
      <c r="D40" s="88">
        <f t="shared" si="0"/>
        <v>4.5861934011885368E-2</v>
      </c>
      <c r="E40" s="53"/>
    </row>
    <row r="41" spans="1:7" ht="15.75" customHeight="1" x14ac:dyDescent="0.3">
      <c r="C41" s="95">
        <v>181.19</v>
      </c>
      <c r="D41" s="88">
        <f t="shared" si="0"/>
        <v>5.8371752845727282E-3</v>
      </c>
      <c r="E41" s="53"/>
    </row>
    <row r="42" spans="1:7" ht="15.75" customHeight="1" x14ac:dyDescent="0.3">
      <c r="C42" s="95">
        <v>169.61</v>
      </c>
      <c r="D42" s="88">
        <f t="shared" si="0"/>
        <v>-5.8446695181762813E-2</v>
      </c>
      <c r="E42" s="53"/>
    </row>
    <row r="43" spans="1:7" ht="16.5" customHeight="1" x14ac:dyDescent="0.3">
      <c r="C43" s="96">
        <v>180.1</v>
      </c>
      <c r="D43" s="89">
        <f t="shared" si="0"/>
        <v>-2.1372443980603308E-4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3602.77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180.13849999999999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180.13849999999999</v>
      </c>
      <c r="C49" s="93">
        <f>-IF(C46&lt;=80,10%,IF(C46&lt;250,7.5%,5%))</f>
        <v>-7.4999999999999997E-2</v>
      </c>
      <c r="D49" s="81">
        <f>IF(C46&lt;=80,C46*0.9,IF(C46&lt;250,C46*0.925,C46*0.95))</f>
        <v>166.62811250000001</v>
      </c>
    </row>
    <row r="50" spans="1:6" ht="17.25" customHeight="1" x14ac:dyDescent="0.3">
      <c r="B50" s="285"/>
      <c r="C50" s="94">
        <f>IF(C46&lt;=80, 10%, IF(C46&lt;250, 7.5%, 5%))</f>
        <v>7.4999999999999997E-2</v>
      </c>
      <c r="D50" s="81">
        <f>IF(C46&lt;=80, C46*1.1, IF(C46&lt;250, C46*1.075, C46*1.05))</f>
        <v>193.64888749999997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 t="s">
        <v>125</v>
      </c>
      <c r="C53" s="72"/>
      <c r="D53" s="71" t="s">
        <v>126</v>
      </c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73" zoomScale="30" zoomScaleNormal="40" zoomScaleSheetLayoutView="30" zoomScalePageLayoutView="50" workbookViewId="0">
      <selection activeCell="G105" sqref="G10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0" t="s">
        <v>45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46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x14ac:dyDescent="0.3">
      <c r="A15" s="98"/>
    </row>
    <row r="16" spans="1:9" ht="19.5" customHeight="1" x14ac:dyDescent="0.3">
      <c r="A16" s="293" t="s">
        <v>31</v>
      </c>
      <c r="B16" s="294"/>
      <c r="C16" s="294"/>
      <c r="D16" s="294"/>
      <c r="E16" s="294"/>
      <c r="F16" s="294"/>
      <c r="G16" s="294"/>
      <c r="H16" s="295"/>
    </row>
    <row r="17" spans="1:14" ht="20.25" customHeight="1" x14ac:dyDescent="0.25">
      <c r="A17" s="296" t="s">
        <v>47</v>
      </c>
      <c r="B17" s="296"/>
      <c r="C17" s="296"/>
      <c r="D17" s="296"/>
      <c r="E17" s="296"/>
      <c r="F17" s="296"/>
      <c r="G17" s="296"/>
      <c r="H17" s="296"/>
    </row>
    <row r="18" spans="1:14" ht="26.25" customHeight="1" x14ac:dyDescent="0.4">
      <c r="A18" s="100" t="s">
        <v>33</v>
      </c>
      <c r="B18" s="292" t="s">
        <v>5</v>
      </c>
      <c r="C18" s="292"/>
      <c r="D18" s="27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7" t="s">
        <v>9</v>
      </c>
      <c r="C20" s="29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7" t="s">
        <v>11</v>
      </c>
      <c r="C21" s="297"/>
      <c r="D21" s="297"/>
      <c r="E21" s="297"/>
      <c r="F21" s="297"/>
      <c r="G21" s="297"/>
      <c r="H21" s="297"/>
      <c r="I21" s="104"/>
    </row>
    <row r="22" spans="1:14" ht="26.25" customHeight="1" x14ac:dyDescent="0.4">
      <c r="A22" s="100" t="s">
        <v>37</v>
      </c>
      <c r="B22" s="105">
        <v>42181.412314814814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2" t="s">
        <v>9</v>
      </c>
      <c r="C26" s="292"/>
    </row>
    <row r="27" spans="1:14" ht="26.25" customHeight="1" x14ac:dyDescent="0.4">
      <c r="A27" s="109" t="s">
        <v>48</v>
      </c>
      <c r="B27" s="298" t="s">
        <v>127</v>
      </c>
      <c r="C27" s="298"/>
    </row>
    <row r="28" spans="1:14" ht="27" customHeight="1" x14ac:dyDescent="0.4">
      <c r="A28" s="109" t="s">
        <v>6</v>
      </c>
      <c r="B28" s="110">
        <v>99.88</v>
      </c>
    </row>
    <row r="29" spans="1:14" s="14" customFormat="1" ht="27" customHeight="1" x14ac:dyDescent="0.4">
      <c r="A29" s="109" t="s">
        <v>49</v>
      </c>
      <c r="B29" s="111"/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5" t="s">
        <v>59</v>
      </c>
      <c r="E36" s="306"/>
      <c r="F36" s="305" t="s">
        <v>60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2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3636986</v>
      </c>
      <c r="E38" s="133">
        <f>IF(ISBLANK(D38),"-",$D$48/$D$45*D38)</f>
        <v>2929018.3612870835</v>
      </c>
      <c r="F38" s="132">
        <v>3556097</v>
      </c>
      <c r="G38" s="134">
        <f>IF(ISBLANK(F38),"-",$D$48/$F$45*F38)</f>
        <v>2929862.9388841335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3641828</v>
      </c>
      <c r="E39" s="138">
        <f>IF(ISBLANK(D39),"-",$D$48/$D$45*D39)</f>
        <v>2932917.8282922776</v>
      </c>
      <c r="F39" s="137">
        <v>3551520</v>
      </c>
      <c r="G39" s="139">
        <f>IF(ISBLANK(F39),"-",$D$48/$F$45*F39)</f>
        <v>2926091.9555079001</v>
      </c>
      <c r="I39" s="309">
        <f>ABS((F43/D43*D42)-F42)/D42</f>
        <v>4.7985283052623038E-4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3626444</v>
      </c>
      <c r="E40" s="138">
        <f>IF(ISBLANK(D40),"-",$D$48/$D$45*D40)</f>
        <v>2920528.4436561968</v>
      </c>
      <c r="F40" s="137">
        <v>3557260</v>
      </c>
      <c r="G40" s="139">
        <f>IF(ISBLANK(F40),"-",$D$48/$F$45*F40)</f>
        <v>2930821.1328248279</v>
      </c>
      <c r="I40" s="309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3635086</v>
      </c>
      <c r="E42" s="148">
        <f>AVERAGE(E38:E41)</f>
        <v>2927488.2110785195</v>
      </c>
      <c r="F42" s="147">
        <f>AVERAGE(F38:F41)</f>
        <v>3554959</v>
      </c>
      <c r="G42" s="149">
        <f>AVERAGE(G38:G41)</f>
        <v>2928925.342405621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15.54</v>
      </c>
      <c r="E43" s="140"/>
      <c r="F43" s="152">
        <v>15.19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15.54</v>
      </c>
      <c r="E44" s="155"/>
      <c r="F44" s="154">
        <f>F43*$B$34</f>
        <v>15.19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1250</v>
      </c>
      <c r="C45" s="153" t="s">
        <v>77</v>
      </c>
      <c r="D45" s="157">
        <f>D44*$B$30/100</f>
        <v>15.521352</v>
      </c>
      <c r="E45" s="158"/>
      <c r="F45" s="157">
        <f>F44*$B$30/100</f>
        <v>15.171771999999999</v>
      </c>
      <c r="H45" s="150"/>
    </row>
    <row r="46" spans="1:14" ht="19.5" customHeight="1" x14ac:dyDescent="0.3">
      <c r="A46" s="310" t="s">
        <v>78</v>
      </c>
      <c r="B46" s="311"/>
      <c r="C46" s="153" t="s">
        <v>79</v>
      </c>
      <c r="D46" s="159">
        <f>D45/$B$45</f>
        <v>1.2417081600000001E-2</v>
      </c>
      <c r="E46" s="160"/>
      <c r="F46" s="161">
        <f>F45/$B$45</f>
        <v>1.2137417599999999E-2</v>
      </c>
      <c r="H46" s="150"/>
    </row>
    <row r="47" spans="1:14" ht="27" customHeight="1" x14ac:dyDescent="0.4">
      <c r="A47" s="312"/>
      <c r="B47" s="313"/>
      <c r="C47" s="162" t="s">
        <v>80</v>
      </c>
      <c r="D47" s="163">
        <v>0.01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12.5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12.5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2928206.7767420704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1.495309980617572E-3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contains:Atenolol 50 mg</v>
      </c>
    </row>
    <row r="56" spans="1:12" ht="26.25" customHeight="1" x14ac:dyDescent="0.4">
      <c r="A56" s="177" t="s">
        <v>87</v>
      </c>
      <c r="B56" s="178">
        <v>50</v>
      </c>
      <c r="C56" s="99" t="str">
        <f>B20</f>
        <v>Atenolol</v>
      </c>
      <c r="H56" s="179"/>
    </row>
    <row r="57" spans="1:12" ht="18.75" x14ac:dyDescent="0.3">
      <c r="A57" s="176" t="s">
        <v>88</v>
      </c>
      <c r="B57" s="271">
        <f>Uniformity!C46</f>
        <v>180.13849999999999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14" t="s">
        <v>94</v>
      </c>
      <c r="D60" s="317">
        <v>181.14</v>
      </c>
      <c r="E60" s="182">
        <v>1</v>
      </c>
      <c r="F60" s="183">
        <v>2922353</v>
      </c>
      <c r="G60" s="273">
        <f>IF(ISBLANK(F60),"-",(F60/$D$50*$D$47*$B$68)*($B$57/$D$60))</f>
        <v>49.624154027915701</v>
      </c>
      <c r="H60" s="184">
        <f t="shared" ref="H60:H71" si="0">IF(ISBLANK(F60),"-",G60/$B$56)</f>
        <v>0.99248308055831402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5"/>
      <c r="D61" s="318"/>
      <c r="E61" s="185">
        <v>2</v>
      </c>
      <c r="F61" s="137">
        <v>2900794</v>
      </c>
      <c r="G61" s="274">
        <f>IF(ISBLANK(F61),"-",(F61/$D$50*$D$47*$B$68)*($B$57/$D$60))</f>
        <v>49.258063026353668</v>
      </c>
      <c r="H61" s="186">
        <f t="shared" si="0"/>
        <v>0.98516126052707331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5"/>
      <c r="D62" s="318"/>
      <c r="E62" s="185">
        <v>3</v>
      </c>
      <c r="F62" s="187">
        <v>2905079</v>
      </c>
      <c r="G62" s="274">
        <f>IF(ISBLANK(F62),"-",(F62/$D$50*$D$47*$B$68)*($B$57/$D$60))</f>
        <v>49.330826138821472</v>
      </c>
      <c r="H62" s="186">
        <f>IF(ISBLANK(F62),"-",G62/$B$56)</f>
        <v>0.98661652277642942</v>
      </c>
      <c r="L62" s="112"/>
    </row>
    <row r="63" spans="1:12" ht="27" customHeight="1" x14ac:dyDescent="0.4">
      <c r="A63" s="124" t="s">
        <v>97</v>
      </c>
      <c r="B63" s="125">
        <v>1</v>
      </c>
      <c r="C63" s="316"/>
      <c r="D63" s="319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4" t="s">
        <v>99</v>
      </c>
      <c r="D64" s="317">
        <v>182.64</v>
      </c>
      <c r="E64" s="182">
        <v>1</v>
      </c>
      <c r="F64" s="183">
        <v>2928139</v>
      </c>
      <c r="G64" s="275">
        <f>IF(ISBLANK(F64),"-",(F64/$D$50*$D$47*$B$68)*($B$57/$D$64))</f>
        <v>49.314041416307333</v>
      </c>
      <c r="H64" s="190">
        <f>IF(ISBLANK(F64),"-",G64/$B$56)</f>
        <v>0.98628082832614661</v>
      </c>
    </row>
    <row r="65" spans="1:8" ht="26.25" customHeight="1" x14ac:dyDescent="0.4">
      <c r="A65" s="124" t="s">
        <v>100</v>
      </c>
      <c r="B65" s="125">
        <v>1</v>
      </c>
      <c r="C65" s="315"/>
      <c r="D65" s="318"/>
      <c r="E65" s="185">
        <v>2</v>
      </c>
      <c r="F65" s="137">
        <v>2923145</v>
      </c>
      <c r="G65" s="276">
        <f>IF(ISBLANK(F65),"-",(F65/$D$50*$D$47*$B$68)*($B$57/$D$64))</f>
        <v>49.229935326113853</v>
      </c>
      <c r="H65" s="191">
        <f>IF(ISBLANK(F65),"-",G65/$B$56)</f>
        <v>0.9845987065222771</v>
      </c>
    </row>
    <row r="66" spans="1:8" ht="26.25" customHeight="1" x14ac:dyDescent="0.4">
      <c r="A66" s="124" t="s">
        <v>101</v>
      </c>
      <c r="B66" s="125">
        <v>1</v>
      </c>
      <c r="C66" s="315"/>
      <c r="D66" s="318"/>
      <c r="E66" s="185">
        <v>3</v>
      </c>
      <c r="F66" s="137">
        <v>2902815</v>
      </c>
      <c r="G66" s="276">
        <f>IF(ISBLANK(F66),"-",(F66/$D$50*$D$47*$B$68)*($B$57/$D$64))</f>
        <v>48.887549099915738</v>
      </c>
      <c r="H66" s="191">
        <f>IF(ISBLANK(F66),"-",G66/$B$56)</f>
        <v>0.97775098199831478</v>
      </c>
    </row>
    <row r="67" spans="1:8" ht="27" customHeight="1" x14ac:dyDescent="0.4">
      <c r="A67" s="124" t="s">
        <v>102</v>
      </c>
      <c r="B67" s="125">
        <v>1</v>
      </c>
      <c r="C67" s="316"/>
      <c r="D67" s="319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5000</v>
      </c>
      <c r="C68" s="314" t="s">
        <v>104</v>
      </c>
      <c r="D68" s="317">
        <v>180.51</v>
      </c>
      <c r="E68" s="182">
        <v>1</v>
      </c>
      <c r="F68" s="183">
        <v>2933353</v>
      </c>
      <c r="G68" s="275">
        <f>IF(ISBLANK(F68),"-",(F68/$D$50*$D$47*$B$68)*($B$57/$D$68))</f>
        <v>49.984789555301781</v>
      </c>
      <c r="H68" s="186">
        <f>IF(ISBLANK(F68),"-",G68/$B$56)</f>
        <v>0.99969579110603557</v>
      </c>
    </row>
    <row r="69" spans="1:8" ht="27" customHeight="1" x14ac:dyDescent="0.4">
      <c r="A69" s="172" t="s">
        <v>105</v>
      </c>
      <c r="B69" s="194">
        <f>(D47*B68)/B56*B57</f>
        <v>180.13849999999999</v>
      </c>
      <c r="C69" s="315"/>
      <c r="D69" s="318"/>
      <c r="E69" s="185">
        <v>2</v>
      </c>
      <c r="F69" s="137">
        <v>2937903</v>
      </c>
      <c r="G69" s="276">
        <f>IF(ISBLANK(F69),"-",(F69/$D$50*$D$47*$B$68)*($B$57/$D$68))</f>
        <v>50.062322260188189</v>
      </c>
      <c r="H69" s="186">
        <f t="shared" si="0"/>
        <v>1.0012464452037637</v>
      </c>
    </row>
    <row r="70" spans="1:8" ht="26.25" customHeight="1" x14ac:dyDescent="0.4">
      <c r="A70" s="327" t="s">
        <v>78</v>
      </c>
      <c r="B70" s="328"/>
      <c r="C70" s="315"/>
      <c r="D70" s="318"/>
      <c r="E70" s="185">
        <v>3</v>
      </c>
      <c r="F70" s="137">
        <v>2927460</v>
      </c>
      <c r="G70" s="276">
        <f>IF(ISBLANK(F70),"-",(F70/$D$50*$D$47*$B$68)*($B$57/$D$68))</f>
        <v>49.884371922357708</v>
      </c>
      <c r="H70" s="186">
        <f t="shared" si="0"/>
        <v>0.99768743844715413</v>
      </c>
    </row>
    <row r="71" spans="1:8" ht="27" customHeight="1" x14ac:dyDescent="0.4">
      <c r="A71" s="329"/>
      <c r="B71" s="330"/>
      <c r="C71" s="326"/>
      <c r="D71" s="319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0.99016900616283443</v>
      </c>
    </row>
    <row r="73" spans="1:8" ht="26.25" customHeight="1" x14ac:dyDescent="0.4">
      <c r="C73" s="196"/>
      <c r="D73" s="196"/>
      <c r="E73" s="196"/>
      <c r="F73" s="197"/>
      <c r="G73" s="200" t="s">
        <v>84</v>
      </c>
      <c r="H73" s="278">
        <f>STDEV(H60:H71)/H72</f>
        <v>8.0904846638384167E-3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322" t="str">
        <f>B20</f>
        <v>Atenolol</v>
      </c>
      <c r="D76" s="322"/>
      <c r="E76" s="205" t="s">
        <v>108</v>
      </c>
      <c r="F76" s="205"/>
      <c r="G76" s="206">
        <f>H72</f>
        <v>0.99016900616283443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8" t="str">
        <f>B26</f>
        <v>Atenolol</v>
      </c>
      <c r="C79" s="308"/>
    </row>
    <row r="80" spans="1:8" ht="26.25" customHeight="1" x14ac:dyDescent="0.4">
      <c r="A80" s="109" t="s">
        <v>48</v>
      </c>
      <c r="B80" s="308" t="str">
        <f>B27</f>
        <v>A20</v>
      </c>
      <c r="C80" s="308"/>
    </row>
    <row r="81" spans="1:12" ht="27" customHeight="1" x14ac:dyDescent="0.4">
      <c r="A81" s="109" t="s">
        <v>6</v>
      </c>
      <c r="B81" s="208">
        <f>B28</f>
        <v>99.88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305" t="s">
        <v>60</v>
      </c>
      <c r="G89" s="307"/>
    </row>
    <row r="90" spans="1:12" ht="27" customHeight="1" x14ac:dyDescent="0.4">
      <c r="A90" s="124" t="s">
        <v>61</v>
      </c>
      <c r="B90" s="125">
        <v>2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13">
        <v>1</v>
      </c>
      <c r="D91" s="132">
        <v>3636986</v>
      </c>
      <c r="E91" s="133">
        <f>IF(ISBLANK(D91),"-",$D$101/$D$98*D91)</f>
        <v>2934683.7739781616</v>
      </c>
      <c r="F91" s="132">
        <v>3556097</v>
      </c>
      <c r="G91" s="134">
        <f>IF(ISBLANK(F91),"-",$D$101/$F$98*F91)</f>
        <v>2929862.9388841335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3641828</v>
      </c>
      <c r="E92" s="138">
        <f>IF(ISBLANK(D92),"-",$D$101/$D$98*D92)</f>
        <v>2938590.7834727271</v>
      </c>
      <c r="F92" s="137">
        <v>3551520</v>
      </c>
      <c r="G92" s="139">
        <f>IF(ISBLANK(F92),"-",$D$101/$F$98*F92)</f>
        <v>2926091.9555079001</v>
      </c>
      <c r="I92" s="309">
        <f>ABS((F96/D96*D95)-F95)/D95</f>
        <v>1.4108192729118778E-3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3626444</v>
      </c>
      <c r="E93" s="138">
        <f>IF(ISBLANK(D93),"-",$D$101/$D$98*D93)</f>
        <v>2926177.4348431528</v>
      </c>
      <c r="F93" s="137">
        <v>3557260</v>
      </c>
      <c r="G93" s="139">
        <f>IF(ISBLANK(F93),"-",$D$101/$F$98*F93)</f>
        <v>2930821.1328248279</v>
      </c>
      <c r="I93" s="309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3635086</v>
      </c>
      <c r="E95" s="148">
        <f>AVERAGE(E91:E94)</f>
        <v>2933150.6640980137</v>
      </c>
      <c r="F95" s="218">
        <f>AVERAGE(F91:F94)</f>
        <v>3554959</v>
      </c>
      <c r="G95" s="219">
        <f>AVERAGE(G91:G94)</f>
        <v>2928925.342405621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15.51</v>
      </c>
      <c r="E96" s="140"/>
      <c r="F96" s="152">
        <v>15.19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15.51</v>
      </c>
      <c r="E97" s="155"/>
      <c r="F97" s="154">
        <f>F96*$B$87</f>
        <v>15.19</v>
      </c>
    </row>
    <row r="98" spans="1:10" ht="19.5" customHeight="1" x14ac:dyDescent="0.3">
      <c r="A98" s="124" t="s">
        <v>76</v>
      </c>
      <c r="B98" s="224">
        <f>(B97/B96)*(B95/B94)*(B93/B92)*(B91/B90)*B89</f>
        <v>1250</v>
      </c>
      <c r="C98" s="222" t="s">
        <v>115</v>
      </c>
      <c r="D98" s="225">
        <f>D97*$B$83/100</f>
        <v>15.491387999999999</v>
      </c>
      <c r="E98" s="158"/>
      <c r="F98" s="157">
        <f>F97*$B$83/100</f>
        <v>15.171771999999999</v>
      </c>
    </row>
    <row r="99" spans="1:10" ht="19.5" customHeight="1" x14ac:dyDescent="0.3">
      <c r="A99" s="310" t="s">
        <v>78</v>
      </c>
      <c r="B99" s="324"/>
      <c r="C99" s="222" t="s">
        <v>116</v>
      </c>
      <c r="D99" s="226">
        <f>D98/$B$98</f>
        <v>1.2393110399999999E-2</v>
      </c>
      <c r="E99" s="158"/>
      <c r="F99" s="161">
        <f>F98/$B$98</f>
        <v>1.2137417599999999E-2</v>
      </c>
      <c r="G99" s="227"/>
      <c r="H99" s="150"/>
    </row>
    <row r="100" spans="1:10" ht="19.5" customHeight="1" x14ac:dyDescent="0.3">
      <c r="A100" s="312"/>
      <c r="B100" s="325"/>
      <c r="C100" s="222" t="s">
        <v>80</v>
      </c>
      <c r="D100" s="228">
        <v>0.01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12.5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12.5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2931038.0032518171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1.6703866757641741E-3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5</v>
      </c>
      <c r="C108" s="243">
        <v>1</v>
      </c>
      <c r="D108" s="244">
        <v>3708375</v>
      </c>
      <c r="E108" s="279">
        <f>IF(ISBLANK(D108),"-",D108/$D$103*$D$100*$B$116)</f>
        <v>45.547515880683846</v>
      </c>
      <c r="F108" s="245">
        <f t="shared" ref="F108:F113" si="1">IF(ISBLANK(D108), "-", E108/$B$56)</f>
        <v>0.91095031761367695</v>
      </c>
    </row>
    <row r="109" spans="1:10" ht="26.25" customHeight="1" x14ac:dyDescent="0.4">
      <c r="A109" s="124" t="s">
        <v>95</v>
      </c>
      <c r="B109" s="125">
        <v>20</v>
      </c>
      <c r="C109" s="243">
        <v>2</v>
      </c>
      <c r="D109" s="244"/>
      <c r="E109" s="280" t="str">
        <f t="shared" ref="E108:E113" si="2">IF(ISBLANK(D109),"-",D109/$D$103*$D$100*$B$116)</f>
        <v>-</v>
      </c>
      <c r="F109" s="246" t="str">
        <f>IF(ISBLANK(D109), "-", E109/$B$56)</f>
        <v>-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3714777</v>
      </c>
      <c r="E110" s="280">
        <f>IF(ISBLANK(D110),"-",D110/$D$103*$D$100*$B$116)</f>
        <v>45.626147409768187</v>
      </c>
      <c r="F110" s="246">
        <f t="shared" si="1"/>
        <v>0.91252294819536373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3705301</v>
      </c>
      <c r="E111" s="280">
        <f>IF(ISBLANK(D111),"-",D111/$D$103*$D$100*$B$116)</f>
        <v>45.50975997309164</v>
      </c>
      <c r="F111" s="246">
        <f t="shared" si="1"/>
        <v>0.9101951994618328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3718323</v>
      </c>
      <c r="E112" s="280">
        <f>IF(ISBLANK(D112),"-",D112/$D$103*$D$100*$B$116)</f>
        <v>45.66970058098547</v>
      </c>
      <c r="F112" s="246">
        <f t="shared" si="1"/>
        <v>0.91339401161970946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3720815</v>
      </c>
      <c r="E113" s="281">
        <f>IF(ISBLANK(D113),"-",D113/$D$103*$D$100*$B$116)</f>
        <v>45.700308167751821</v>
      </c>
      <c r="F113" s="249">
        <f t="shared" si="1"/>
        <v>0.91400616335503637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/>
      <c r="E115" s="252" t="s">
        <v>71</v>
      </c>
      <c r="F115" s="253">
        <f>AVERAGE(F108:F113)</f>
        <v>0.91221372804912393</v>
      </c>
    </row>
    <row r="116" spans="1:10" ht="27" customHeight="1" x14ac:dyDescent="0.4">
      <c r="A116" s="124" t="s">
        <v>103</v>
      </c>
      <c r="B116" s="156">
        <f>(B115/B114)*(B113/B112)*(B111/B110)*(B109/B108)*B107</f>
        <v>3600</v>
      </c>
      <c r="C116" s="254"/>
      <c r="D116" s="255"/>
      <c r="E116" s="216" t="s">
        <v>84</v>
      </c>
      <c r="F116" s="256">
        <f>STDEV(F108:F113)/F115</f>
        <v>1.7652584705986098E-3</v>
      </c>
      <c r="I116" s="98"/>
    </row>
    <row r="117" spans="1:10" ht="27" customHeight="1" x14ac:dyDescent="0.4">
      <c r="A117" s="310" t="s">
        <v>78</v>
      </c>
      <c r="B117" s="311"/>
      <c r="C117" s="257"/>
      <c r="D117" s="258"/>
      <c r="E117" s="259" t="s">
        <v>20</v>
      </c>
      <c r="F117" s="260">
        <f>COUNT(F108:F113)</f>
        <v>5</v>
      </c>
      <c r="I117" s="98"/>
      <c r="J117" s="236"/>
    </row>
    <row r="118" spans="1:10" ht="19.5" customHeight="1" x14ac:dyDescent="0.3">
      <c r="A118" s="312"/>
      <c r="B118" s="313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2" t="str">
        <f>B20</f>
        <v>Atenolol</v>
      </c>
      <c r="D120" s="322"/>
      <c r="E120" s="205" t="s">
        <v>124</v>
      </c>
      <c r="F120" s="205"/>
      <c r="G120" s="206">
        <f>F115</f>
        <v>0.91221372804912393</v>
      </c>
      <c r="H120" s="98"/>
      <c r="I120" s="98"/>
    </row>
    <row r="121" spans="1:10" ht="19.5" customHeight="1" x14ac:dyDescent="0.3">
      <c r="A121" s="261"/>
      <c r="B121" s="261"/>
      <c r="C121" s="262"/>
      <c r="D121" s="262"/>
      <c r="E121" s="262"/>
      <c r="F121" s="262"/>
      <c r="G121" s="262"/>
      <c r="H121" s="262"/>
    </row>
    <row r="122" spans="1:10" ht="18.75" x14ac:dyDescent="0.3">
      <c r="B122" s="323" t="s">
        <v>26</v>
      </c>
      <c r="C122" s="323"/>
      <c r="E122" s="211" t="s">
        <v>27</v>
      </c>
      <c r="F122" s="263"/>
      <c r="G122" s="323" t="s">
        <v>28</v>
      </c>
      <c r="H122" s="323"/>
    </row>
    <row r="123" spans="1:10" ht="69.95" customHeight="1" x14ac:dyDescent="0.3">
      <c r="A123" s="264" t="s">
        <v>29</v>
      </c>
      <c r="B123" s="265" t="s">
        <v>125</v>
      </c>
      <c r="C123" s="265"/>
      <c r="E123" s="265" t="s">
        <v>128</v>
      </c>
      <c r="F123" s="98"/>
      <c r="G123" s="266"/>
      <c r="H123" s="266"/>
    </row>
    <row r="124" spans="1:10" ht="69.95" customHeight="1" x14ac:dyDescent="0.3">
      <c r="A124" s="264" t="s">
        <v>30</v>
      </c>
      <c r="B124" s="267"/>
      <c r="C124" s="267"/>
      <c r="E124" s="267"/>
      <c r="F124" s="98"/>
      <c r="G124" s="268"/>
      <c r="H124" s="268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colBreaks count="1" manualBreakCount="1">
    <brk id="9" max="1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Atenolol</vt:lpstr>
      <vt:lpstr>Atenolol!Print_Area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2015-07-03T09:33:20Z</cp:lastPrinted>
  <dcterms:created xsi:type="dcterms:W3CDTF">2005-07-05T10:19:27Z</dcterms:created>
  <dcterms:modified xsi:type="dcterms:W3CDTF">2015-07-03T09:42:50Z</dcterms:modified>
  <cp:category/>
</cp:coreProperties>
</file>