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Atenolol" sheetId="3" r:id="rId3"/>
  </sheets>
  <definedNames>
    <definedName name="_xlnm.Print_Area" localSheetId="2">Atenolol!$A$1:$I$124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09" i="3" l="1"/>
  <c r="E110" i="3"/>
  <c r="E108" i="3"/>
  <c r="D102" i="3"/>
  <c r="E91" i="3"/>
  <c r="F99" i="3"/>
  <c r="B98" i="3"/>
  <c r="B87" i="3"/>
  <c r="G76" i="3"/>
  <c r="G70" i="3"/>
  <c r="G66" i="3"/>
  <c r="G62" i="3"/>
  <c r="G69" i="3"/>
  <c r="G65" i="3"/>
  <c r="G61" i="3"/>
  <c r="H68" i="3"/>
  <c r="G64" i="3"/>
  <c r="G60" i="3"/>
  <c r="B68" i="3"/>
  <c r="G38" i="3"/>
  <c r="E38" i="3"/>
  <c r="B34" i="3"/>
  <c r="C120" i="3"/>
  <c r="B116" i="3"/>
  <c r="D100" i="3" s="1"/>
  <c r="F95" i="3"/>
  <c r="I92" i="3" s="1"/>
  <c r="D95" i="3"/>
  <c r="F97" i="3"/>
  <c r="B83" i="3"/>
  <c r="B81" i="3"/>
  <c r="B80" i="3"/>
  <c r="B79" i="3"/>
  <c r="C76" i="3"/>
  <c r="B57" i="3"/>
  <c r="C56" i="3"/>
  <c r="B55" i="3"/>
  <c r="B45" i="3"/>
  <c r="D48" i="3" s="1"/>
  <c r="F42" i="3"/>
  <c r="D42" i="3"/>
  <c r="F44" i="3"/>
  <c r="F45" i="3" s="1"/>
  <c r="B30" i="3"/>
  <c r="D49" i="2"/>
  <c r="C46" i="2"/>
  <c r="C49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I39" i="3"/>
  <c r="F46" i="3"/>
  <c r="F98" i="3"/>
  <c r="G40" i="3"/>
  <c r="D49" i="3"/>
  <c r="G39" i="3"/>
  <c r="G41" i="3"/>
  <c r="G91" i="3"/>
  <c r="C50" i="2"/>
  <c r="D26" i="2"/>
  <c r="D30" i="2"/>
  <c r="D34" i="2"/>
  <c r="D38" i="2"/>
  <c r="D42" i="2"/>
  <c r="B49" i="2"/>
  <c r="D50" i="2"/>
  <c r="D44" i="3"/>
  <c r="D45" i="3" s="1"/>
  <c r="D46" i="3" s="1"/>
  <c r="D97" i="3"/>
  <c r="D98" i="3" s="1"/>
  <c r="D27" i="2"/>
  <c r="D31" i="2"/>
  <c r="D35" i="2"/>
  <c r="D39" i="2"/>
  <c r="D43" i="2"/>
  <c r="G94" i="3" l="1"/>
  <c r="G92" i="3"/>
  <c r="G93" i="3"/>
  <c r="G95" i="3" s="1"/>
  <c r="G42" i="3"/>
  <c r="E92" i="3"/>
  <c r="E40" i="3"/>
  <c r="E41" i="3"/>
  <c r="E39" i="3"/>
  <c r="E94" i="3"/>
  <c r="E93" i="3"/>
  <c r="D50" i="3" l="1"/>
  <c r="E42" i="3"/>
  <c r="D52" i="3"/>
  <c r="E95" i="3"/>
  <c r="D105" i="3"/>
  <c r="D103" i="3"/>
  <c r="D104" i="3" l="1"/>
  <c r="E112" i="3"/>
  <c r="F112" i="3" s="1"/>
  <c r="F110" i="3"/>
  <c r="F108" i="3"/>
  <c r="E113" i="3"/>
  <c r="F113" i="3" s="1"/>
  <c r="E111" i="3"/>
  <c r="F111" i="3" s="1"/>
  <c r="E109" i="3"/>
  <c r="H70" i="3"/>
  <c r="G67" i="3"/>
  <c r="H67" i="3" s="1"/>
  <c r="H65" i="3"/>
  <c r="G63" i="3"/>
  <c r="H63" i="3" s="1"/>
  <c r="H61" i="3"/>
  <c r="G68" i="3"/>
  <c r="D51" i="3"/>
  <c r="G71" i="3"/>
  <c r="H71" i="3" s="1"/>
  <c r="H69" i="3"/>
  <c r="H66" i="3"/>
  <c r="H64" i="3"/>
  <c r="H62" i="3"/>
  <c r="H60" i="3"/>
  <c r="H72" i="3" l="1"/>
  <c r="H74" i="3"/>
  <c r="F115" i="3"/>
  <c r="F117" i="3"/>
  <c r="G120" i="3" l="1"/>
  <c r="F116" i="3"/>
  <c r="H73" i="3"/>
</calcChain>
</file>

<file path=xl/sharedStrings.xml><?xml version="1.0" encoding="utf-8"?>
<sst xmlns="http://schemas.openxmlformats.org/spreadsheetml/2006/main" count="235" uniqueCount="127">
  <si>
    <t>HPLC System Suitability Report</t>
  </si>
  <si>
    <t>Analysis Data</t>
  </si>
  <si>
    <t>Assay</t>
  </si>
  <si>
    <t>Sample(s)</t>
  </si>
  <si>
    <t>Reference Substance:</t>
  </si>
  <si>
    <t>TENBLOKA 50 TABLETS</t>
  </si>
  <si>
    <t>% age Purity:</t>
  </si>
  <si>
    <t>NDQD201506268</t>
  </si>
  <si>
    <t>Weight (mg):</t>
  </si>
  <si>
    <t>Atenolol</t>
  </si>
  <si>
    <t>Standard Conc (mg/mL):</t>
  </si>
  <si>
    <t>Each tablet contains:Atenolol 100 mg</t>
  </si>
  <si>
    <t>2015-06-05 09:58:20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</si>
  <si>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</si>
  <si>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</si>
  <si>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</si>
  <si>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</si>
  <si>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</si>
  <si>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</si>
  <si>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</si>
  <si>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</si>
  <si>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</si>
  <si>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</si>
  <si>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</si>
  <si>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</si>
  <si>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</si>
  <si>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</si>
  <si>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</si>
  <si>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</si>
  <si>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</si>
  <si>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</si>
  <si>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</si>
  <si>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</si>
  <si>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</si>
  <si>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</si>
  <si>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</si>
  <si>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</si>
  <si>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</si>
  <si>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</si>
  <si>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</si>
  <si>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</si>
  <si>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</si>
  <si>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</si>
  <si>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</si>
  <si>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</si>
  <si>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</si>
  <si>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</si>
  <si>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</si>
  <si>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</si>
  <si>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</si>
  <si>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</si>
  <si>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</si>
  <si>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</si>
  <si>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</si>
  <si>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</si>
  <si>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</si>
  <si>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</si>
  <si>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</si>
  <si>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</si>
  <si>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</si>
  <si>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</si>
  <si>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</si>
  <si>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</si>
  <si>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</si>
  <si>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</si>
  <si>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</si>
  <si>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</si>
  <si>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</si>
  <si>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</si>
  <si>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</si>
  <si>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</si>
  <si>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</si>
  <si>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</si>
  <si>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</si>
  <si>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</si>
  <si>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</si>
  <si>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</si>
  <si>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</si>
  <si>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</si>
  <si>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</si>
  <si>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</si>
  <si>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</si>
  <si>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</si>
  <si>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</si>
  <si>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</si>
  <si>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</si>
  <si>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</si>
  <si>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</si>
  <si>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</si>
  <si>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</si>
  <si>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</si>
  <si>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</si>
  <si>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</si>
  <si>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</si>
  <si>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</si>
  <si>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</si>
  <si>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</si>
  <si>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</si>
  <si>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</si>
  <si>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</si>
  <si>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</si>
  <si>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</si>
  <si>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</si>
  <si>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</si>
  <si>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</si>
  <si>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</si>
  <si>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</si>
  <si>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</si>
  <si>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</si>
  <si>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</si>
  <si>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</si>
  <si>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</si>
  <si>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</si>
  <si>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</si>
  <si>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</si>
  <si>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</si>
  <si>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</si>
  <si>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</si>
  <si>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</si>
  <si>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</si>
  <si>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</si>
  <si>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</si>
  <si>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</si>
  <si>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</si>
  <si>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</si>
  <si>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Beatrice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</si>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</sst>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12" fillId="6" borderId="41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C46" sqref="C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3647054</v>
      </c>
      <c r="C24" s="18">
        <v>6319.29</v>
      </c>
      <c r="D24" s="19">
        <v>1.26</v>
      </c>
      <c r="E24" s="20">
        <v>8.57</v>
      </c>
    </row>
    <row r="25" spans="1:6" ht="16.5" customHeight="1" x14ac:dyDescent="0.3">
      <c r="A25" s="17">
        <v>2</v>
      </c>
      <c r="B25" s="18">
        <v>3644199</v>
      </c>
      <c r="C25" s="18">
        <v>7187.1</v>
      </c>
      <c r="D25" s="19">
        <v>1.26</v>
      </c>
      <c r="E25" s="19">
        <v>9.02</v>
      </c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>
        <v>3522745</v>
      </c>
      <c r="C27" s="18">
        <v>6873.55</v>
      </c>
      <c r="D27" s="19">
        <v>1.19</v>
      </c>
      <c r="E27" s="19">
        <v>8.93</v>
      </c>
    </row>
    <row r="28" spans="1:6" ht="16.5" customHeight="1" x14ac:dyDescent="0.3">
      <c r="A28" s="17">
        <v>5</v>
      </c>
      <c r="B28" s="18">
        <v>3619464</v>
      </c>
      <c r="C28" s="18">
        <v>6645.37</v>
      </c>
      <c r="D28" s="19">
        <v>1.24</v>
      </c>
      <c r="E28" s="19">
        <v>8.74</v>
      </c>
    </row>
    <row r="29" spans="1:6" ht="16.5" customHeight="1" x14ac:dyDescent="0.3">
      <c r="A29" s="17">
        <v>6</v>
      </c>
      <c r="B29" s="21">
        <v>3638772</v>
      </c>
      <c r="C29" s="21">
        <v>6393.92</v>
      </c>
      <c r="D29" s="22">
        <v>1.26</v>
      </c>
      <c r="E29" s="22">
        <v>8.6</v>
      </c>
    </row>
    <row r="30" spans="1:6" ht="16.5" customHeight="1" x14ac:dyDescent="0.3">
      <c r="A30" s="23" t="s">
        <v>18</v>
      </c>
      <c r="B30" s="24">
        <f>AVERAGE(B24:B29)</f>
        <v>3614446.8</v>
      </c>
      <c r="C30" s="25">
        <f>AVERAGE(C24:C29)</f>
        <v>6683.8459999999995</v>
      </c>
      <c r="D30" s="26">
        <f>AVERAGE(D24:D29)</f>
        <v>1.242</v>
      </c>
      <c r="E30" s="26">
        <f>AVERAGE(E24:E29)</f>
        <v>8.7720000000000002</v>
      </c>
    </row>
    <row r="31" spans="1:6" ht="16.5" customHeight="1" x14ac:dyDescent="0.3">
      <c r="A31" s="27" t="s">
        <v>19</v>
      </c>
      <c r="B31" s="28">
        <f>(STDEV(B24:B29)/B30)</f>
        <v>1.4491760424967255E-2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374.07</v>
      </c>
      <c r="D24" s="87">
        <f t="shared" ref="D24:D43" si="0">(C24-$C$46)/$C$46</f>
        <v>5.2402450822313538E-3</v>
      </c>
      <c r="E24" s="53"/>
    </row>
    <row r="25" spans="1:5" ht="15.75" customHeight="1" x14ac:dyDescent="0.3">
      <c r="C25" s="95">
        <v>370.15</v>
      </c>
      <c r="D25" s="88">
        <f t="shared" si="0"/>
        <v>-5.2939911856392666E-3</v>
      </c>
      <c r="E25" s="53"/>
    </row>
    <row r="26" spans="1:5" ht="15.75" customHeight="1" x14ac:dyDescent="0.3">
      <c r="C26" s="95">
        <v>372.22</v>
      </c>
      <c r="D26" s="88">
        <f t="shared" si="0"/>
        <v>2.6873051703742309E-4</v>
      </c>
      <c r="E26" s="53"/>
    </row>
    <row r="27" spans="1:5" ht="15.75" customHeight="1" x14ac:dyDescent="0.3">
      <c r="C27" s="95">
        <v>370.54</v>
      </c>
      <c r="D27" s="88">
        <f t="shared" si="0"/>
        <v>-4.2459421691928428E-3</v>
      </c>
      <c r="E27" s="53"/>
    </row>
    <row r="28" spans="1:5" ht="15.75" customHeight="1" x14ac:dyDescent="0.3">
      <c r="C28" s="95">
        <v>380.08</v>
      </c>
      <c r="D28" s="88">
        <f t="shared" si="0"/>
        <v>2.1390949156185966E-2</v>
      </c>
      <c r="E28" s="53"/>
    </row>
    <row r="29" spans="1:5" ht="15.75" customHeight="1" x14ac:dyDescent="0.3">
      <c r="C29" s="95">
        <v>380.98</v>
      </c>
      <c r="D29" s="88">
        <f t="shared" si="0"/>
        <v>2.380952380952369E-2</v>
      </c>
      <c r="E29" s="53"/>
    </row>
    <row r="30" spans="1:5" ht="15.75" customHeight="1" x14ac:dyDescent="0.3">
      <c r="C30" s="95">
        <v>372.97</v>
      </c>
      <c r="D30" s="88">
        <f t="shared" si="0"/>
        <v>2.2842093948187837E-3</v>
      </c>
      <c r="E30" s="53"/>
    </row>
    <row r="31" spans="1:5" ht="15.75" customHeight="1" x14ac:dyDescent="0.3">
      <c r="C31" s="95">
        <v>362.01</v>
      </c>
      <c r="D31" s="88">
        <f t="shared" si="0"/>
        <v>-2.7168655272492931E-2</v>
      </c>
      <c r="E31" s="53"/>
    </row>
    <row r="32" spans="1:5" ht="15.75" customHeight="1" x14ac:dyDescent="0.3">
      <c r="C32" s="95">
        <v>373.19</v>
      </c>
      <c r="D32" s="88">
        <f t="shared" si="0"/>
        <v>2.8754165323012365E-3</v>
      </c>
      <c r="E32" s="53"/>
    </row>
    <row r="33" spans="1:7" ht="15.75" customHeight="1" x14ac:dyDescent="0.3">
      <c r="C33" s="95">
        <v>366.44</v>
      </c>
      <c r="D33" s="88">
        <f t="shared" si="0"/>
        <v>-1.5263893367731008E-2</v>
      </c>
      <c r="E33" s="53"/>
    </row>
    <row r="34" spans="1:7" ht="15.75" customHeight="1" x14ac:dyDescent="0.3">
      <c r="C34" s="95">
        <v>377.88</v>
      </c>
      <c r="D34" s="88">
        <f t="shared" si="0"/>
        <v>1.5478877781360671E-2</v>
      </c>
      <c r="E34" s="53"/>
    </row>
    <row r="35" spans="1:7" ht="15.75" customHeight="1" x14ac:dyDescent="0.3">
      <c r="C35" s="95">
        <v>375.18</v>
      </c>
      <c r="D35" s="88">
        <f t="shared" si="0"/>
        <v>8.2231538213478044E-3</v>
      </c>
      <c r="E35" s="53"/>
    </row>
    <row r="36" spans="1:7" ht="15.75" customHeight="1" x14ac:dyDescent="0.3">
      <c r="C36" s="95">
        <v>368.67</v>
      </c>
      <c r="D36" s="88">
        <f t="shared" si="0"/>
        <v>-9.27120283779438E-3</v>
      </c>
      <c r="E36" s="53"/>
    </row>
    <row r="37" spans="1:7" ht="15.75" customHeight="1" x14ac:dyDescent="0.3">
      <c r="C37" s="95">
        <v>388.59</v>
      </c>
      <c r="D37" s="88">
        <f t="shared" si="0"/>
        <v>4.4259916156078445E-2</v>
      </c>
      <c r="E37" s="53"/>
    </row>
    <row r="38" spans="1:7" ht="15.75" customHeight="1" x14ac:dyDescent="0.3">
      <c r="C38" s="95">
        <v>378.51</v>
      </c>
      <c r="D38" s="88">
        <f t="shared" si="0"/>
        <v>1.7171880038697001E-2</v>
      </c>
      <c r="E38" s="53"/>
    </row>
    <row r="39" spans="1:7" ht="15.75" customHeight="1" x14ac:dyDescent="0.3">
      <c r="C39" s="95">
        <v>363.9</v>
      </c>
      <c r="D39" s="88">
        <f t="shared" si="0"/>
        <v>-2.2089648500483939E-2</v>
      </c>
      <c r="E39" s="53"/>
    </row>
    <row r="40" spans="1:7" ht="15.75" customHeight="1" x14ac:dyDescent="0.3">
      <c r="C40" s="95">
        <v>366.27</v>
      </c>
      <c r="D40" s="88">
        <f t="shared" si="0"/>
        <v>-1.5720735246694827E-2</v>
      </c>
      <c r="E40" s="53"/>
    </row>
    <row r="41" spans="1:7" ht="15.75" customHeight="1" x14ac:dyDescent="0.3">
      <c r="C41" s="95">
        <v>374.21</v>
      </c>
      <c r="D41" s="88">
        <f t="shared" si="0"/>
        <v>5.6164678060838377E-3</v>
      </c>
      <c r="E41" s="53"/>
    </row>
    <row r="42" spans="1:7" ht="15.75" customHeight="1" x14ac:dyDescent="0.3">
      <c r="C42" s="95">
        <v>352.78</v>
      </c>
      <c r="D42" s="88">
        <f t="shared" si="0"/>
        <v>-5.1972481995055587E-2</v>
      </c>
      <c r="E42" s="53"/>
    </row>
    <row r="43" spans="1:7" ht="16.5" customHeight="1" x14ac:dyDescent="0.3">
      <c r="C43" s="96">
        <v>373.76</v>
      </c>
      <c r="D43" s="89">
        <f t="shared" si="0"/>
        <v>4.4071804794150521E-3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7442.4000000000015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372.12000000000006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372.12000000000006</v>
      </c>
      <c r="C49" s="93">
        <f>-IF(C46&lt;=80,10%,IF(C46&lt;250,7.5%,5%))</f>
        <v>-0.05</v>
      </c>
      <c r="D49" s="81">
        <f>IF(C46&lt;=80,C46*0.9,IF(C46&lt;250,C46*0.925,C46*0.95))</f>
        <v>353.51400000000007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390.72600000000006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 t="s">
        <v>125</v>
      </c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" zoomScale="60" zoomScaleNormal="40" zoomScalePageLayoutView="55" workbookViewId="0">
      <selection activeCell="F110" sqref="F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47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69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1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>
        <v>42181.415509259263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9</v>
      </c>
      <c r="C26" s="291"/>
    </row>
    <row r="27" spans="1:14" ht="26.25" customHeight="1" x14ac:dyDescent="0.4">
      <c r="A27" s="109" t="s">
        <v>48</v>
      </c>
      <c r="B27" s="297" t="s">
        <v>126</v>
      </c>
      <c r="C27" s="297"/>
    </row>
    <row r="28" spans="1:14" ht="27" customHeight="1" x14ac:dyDescent="0.4">
      <c r="A28" s="109" t="s">
        <v>6</v>
      </c>
      <c r="B28" s="110">
        <v>99.88</v>
      </c>
    </row>
    <row r="29" spans="1:14" s="14" customFormat="1" ht="27" customHeight="1" x14ac:dyDescent="0.4">
      <c r="A29" s="109" t="s">
        <v>49</v>
      </c>
      <c r="B29" s="111"/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4" t="s">
        <v>59</v>
      </c>
      <c r="E36" s="305"/>
      <c r="F36" s="304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3636986</v>
      </c>
      <c r="E38" s="133">
        <f>IF(ISBLANK(D38),"-",$D$48/$D$45*D38)</f>
        <v>2929018.3612870835</v>
      </c>
      <c r="F38" s="132">
        <v>3556097</v>
      </c>
      <c r="G38" s="134">
        <f>IF(ISBLANK(F38),"-",$D$48/$F$45*F38)</f>
        <v>2929862.9388841335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3641828</v>
      </c>
      <c r="E39" s="138">
        <f>IF(ISBLANK(D39),"-",$D$48/$D$45*D39)</f>
        <v>2932917.8282922776</v>
      </c>
      <c r="F39" s="137">
        <v>3551520</v>
      </c>
      <c r="G39" s="139">
        <f>IF(ISBLANK(F39),"-",$D$48/$F$45*F39)</f>
        <v>2926091.9555079001</v>
      </c>
      <c r="I39" s="308">
        <f>ABS((F43/D43*D42)-F42)/D42</f>
        <v>4.7985283052623038E-4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3626444</v>
      </c>
      <c r="E40" s="138">
        <f>IF(ISBLANK(D40),"-",$D$48/$D$45*D40)</f>
        <v>2920528.4436561968</v>
      </c>
      <c r="F40" s="137">
        <v>3557260</v>
      </c>
      <c r="G40" s="139">
        <f>IF(ISBLANK(F40),"-",$D$48/$F$45*F40)</f>
        <v>2930821.1328248279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3635086</v>
      </c>
      <c r="E42" s="148">
        <f>AVERAGE(E38:E41)</f>
        <v>2927488.2110785195</v>
      </c>
      <c r="F42" s="147">
        <f>AVERAGE(F38:F41)</f>
        <v>3554959</v>
      </c>
      <c r="G42" s="149">
        <f>AVERAGE(G38:G41)</f>
        <v>2928925.342405621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15.54</v>
      </c>
      <c r="E43" s="140"/>
      <c r="F43" s="152">
        <v>15.19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15.54</v>
      </c>
      <c r="E44" s="155"/>
      <c r="F44" s="154">
        <f>F43*$B$34</f>
        <v>15.19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1250</v>
      </c>
      <c r="C45" s="153" t="s">
        <v>77</v>
      </c>
      <c r="D45" s="157">
        <f>D44*$B$30/100</f>
        <v>15.521352</v>
      </c>
      <c r="E45" s="158"/>
      <c r="F45" s="157">
        <f>F44*$B$30/100</f>
        <v>15.171771999999999</v>
      </c>
      <c r="H45" s="150"/>
    </row>
    <row r="46" spans="1:14" ht="19.5" customHeight="1" x14ac:dyDescent="0.3">
      <c r="A46" s="309" t="s">
        <v>78</v>
      </c>
      <c r="B46" s="310"/>
      <c r="C46" s="153" t="s">
        <v>79</v>
      </c>
      <c r="D46" s="159">
        <f>D45/$B$45</f>
        <v>1.2417081600000001E-2</v>
      </c>
      <c r="E46" s="160"/>
      <c r="F46" s="161">
        <f>F45/$B$45</f>
        <v>1.2137417599999999E-2</v>
      </c>
      <c r="H46" s="150"/>
    </row>
    <row r="47" spans="1:14" ht="27" customHeight="1" x14ac:dyDescent="0.4">
      <c r="A47" s="311"/>
      <c r="B47" s="312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2928206.7767420704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1.495309980617572E-3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contains:Atenolol 100 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Atenolol</v>
      </c>
      <c r="H56" s="179"/>
    </row>
    <row r="57" spans="1:12" ht="18.75" x14ac:dyDescent="0.3">
      <c r="A57" s="176" t="s">
        <v>88</v>
      </c>
      <c r="B57" s="270">
        <f>Uniformity!C46</f>
        <v>372.12000000000006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3" t="s">
        <v>94</v>
      </c>
      <c r="D60" s="316">
        <v>185.23</v>
      </c>
      <c r="E60" s="182">
        <v>1</v>
      </c>
      <c r="F60" s="183">
        <v>2925169</v>
      </c>
      <c r="G60" s="272">
        <f>IF(ISBLANK(F60),"-",(F60/$D$50*$D$47*$B$68)*($B$57/$D$60))</f>
        <v>100.34388482386318</v>
      </c>
      <c r="H60" s="184">
        <f t="shared" ref="H60:H71" si="0">IF(ISBLANK(F60),"-",G60/$B$56)</f>
        <v>1.0034388482386318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4"/>
      <c r="D61" s="317"/>
      <c r="E61" s="185">
        <v>2</v>
      </c>
      <c r="F61" s="137">
        <v>2923092</v>
      </c>
      <c r="G61" s="273">
        <f>IF(ISBLANK(F61),"-",(F61/$D$50*$D$47*$B$68)*($B$57/$D$60))</f>
        <v>100.27263620582464</v>
      </c>
      <c r="H61" s="186">
        <f t="shared" si="0"/>
        <v>1.0027263620582465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5">
        <v>3</v>
      </c>
      <c r="F62" s="187">
        <v>2938954</v>
      </c>
      <c r="G62" s="273">
        <f>IF(ISBLANK(F62),"-",(F62/$D$50*$D$47*$B$68)*($B$57/$D$60))</f>
        <v>100.81676022090758</v>
      </c>
      <c r="H62" s="186">
        <f t="shared" si="0"/>
        <v>1.0081676022090758</v>
      </c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18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185.96</v>
      </c>
      <c r="E64" s="182">
        <v>1</v>
      </c>
      <c r="F64" s="183">
        <v>2933940</v>
      </c>
      <c r="G64" s="274">
        <f>IF(ISBLANK(F64),"-",(F64/$D$50*$D$47*$B$68)*($B$57/$D$64))</f>
        <v>100.24967327132673</v>
      </c>
      <c r="H64" s="190">
        <f t="shared" si="0"/>
        <v>1.0024967327132672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5">
        <v>2</v>
      </c>
      <c r="F65" s="137">
        <v>2910496</v>
      </c>
      <c r="G65" s="275">
        <f>IF(ISBLANK(F65),"-",(F65/$D$50*$D$47*$B$68)*($B$57/$D$64))</f>
        <v>99.448616214886229</v>
      </c>
      <c r="H65" s="191">
        <f t="shared" si="0"/>
        <v>0.99448616214886232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5">
        <v>3</v>
      </c>
      <c r="F66" s="137">
        <v>2921244</v>
      </c>
      <c r="G66" s="275">
        <f>IF(ISBLANK(F66),"-",(F66/$D$50*$D$47*$B$68)*($B$57/$D$64))</f>
        <v>99.815864177803078</v>
      </c>
      <c r="H66" s="191">
        <f t="shared" si="0"/>
        <v>0.99815864177803082</v>
      </c>
    </row>
    <row r="67" spans="1:8" ht="27" customHeight="1" x14ac:dyDescent="0.4">
      <c r="A67" s="124" t="s">
        <v>102</v>
      </c>
      <c r="B67" s="125">
        <v>1</v>
      </c>
      <c r="C67" s="315"/>
      <c r="D67" s="318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13" t="s">
        <v>104</v>
      </c>
      <c r="D68" s="316">
        <v>184.63</v>
      </c>
      <c r="E68" s="182">
        <v>1</v>
      </c>
      <c r="F68" s="183">
        <v>2929507</v>
      </c>
      <c r="G68" s="274">
        <f>IF(ISBLANK(F68),"-",(F68/$D$50*$D$47*$B$68)*($B$57/$D$68))</f>
        <v>100.81926932733154</v>
      </c>
      <c r="H68" s="186">
        <f>IF(ISBLANK(F68),"-",G68/$B$56)</f>
        <v>1.0081926932733154</v>
      </c>
    </row>
    <row r="69" spans="1:8" ht="27" customHeight="1" x14ac:dyDescent="0.4">
      <c r="A69" s="172" t="s">
        <v>105</v>
      </c>
      <c r="B69" s="194">
        <f>(D47*B68)/B56*B57</f>
        <v>186.06000000000003</v>
      </c>
      <c r="C69" s="314"/>
      <c r="D69" s="317"/>
      <c r="E69" s="185">
        <v>2</v>
      </c>
      <c r="F69" s="137">
        <v>2906606</v>
      </c>
      <c r="G69" s="275">
        <f>IF(ISBLANK(F69),"-",(F69/$D$50*$D$47*$B$68)*($B$57/$D$68))</f>
        <v>100.03112917717479</v>
      </c>
      <c r="H69" s="186">
        <f t="shared" si="0"/>
        <v>1.0003112917717478</v>
      </c>
    </row>
    <row r="70" spans="1:8" ht="26.25" customHeight="1" x14ac:dyDescent="0.4">
      <c r="A70" s="326" t="s">
        <v>78</v>
      </c>
      <c r="B70" s="327"/>
      <c r="C70" s="314"/>
      <c r="D70" s="317"/>
      <c r="E70" s="185">
        <v>3</v>
      </c>
      <c r="F70" s="137">
        <v>2957967</v>
      </c>
      <c r="G70" s="275">
        <f>IF(ISBLANK(F70),"-",(F70/$D$50*$D$47*$B$68)*($B$57/$D$68))</f>
        <v>101.7987230050513</v>
      </c>
      <c r="H70" s="186">
        <f t="shared" si="0"/>
        <v>1.0179872300505131</v>
      </c>
    </row>
    <row r="71" spans="1:8" ht="27" customHeight="1" x14ac:dyDescent="0.4">
      <c r="A71" s="328"/>
      <c r="B71" s="329"/>
      <c r="C71" s="325"/>
      <c r="D71" s="318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1.0039961738046324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7">
        <f>STDEV(H60:H71)/H72</f>
        <v>6.8013276883142166E-3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1" t="str">
        <f>B20</f>
        <v>Atenolol</v>
      </c>
      <c r="D76" s="321"/>
      <c r="E76" s="205" t="s">
        <v>108</v>
      </c>
      <c r="F76" s="205"/>
      <c r="G76" s="206">
        <f>H72</f>
        <v>1.0039961738046324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Atenolol</v>
      </c>
      <c r="C79" s="307"/>
    </row>
    <row r="80" spans="1:8" ht="26.25" customHeight="1" x14ac:dyDescent="0.4">
      <c r="A80" s="109" t="s">
        <v>48</v>
      </c>
      <c r="B80" s="307" t="str">
        <f>B27</f>
        <v>A20</v>
      </c>
      <c r="C80" s="307"/>
    </row>
    <row r="81" spans="1:12" ht="27" customHeight="1" x14ac:dyDescent="0.4">
      <c r="A81" s="109" t="s">
        <v>6</v>
      </c>
      <c r="B81" s="208">
        <f>B28</f>
        <v>99.88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4" t="s">
        <v>60</v>
      </c>
      <c r="G89" s="306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3636986</v>
      </c>
      <c r="E91" s="133">
        <f>IF(ISBLANK(D91),"-",$D$101/$D$98*D91)</f>
        <v>2929018.3612870835</v>
      </c>
      <c r="F91" s="132">
        <v>3556097</v>
      </c>
      <c r="G91" s="134">
        <f>IF(ISBLANK(F91),"-",$D$101/$F$98*F91)</f>
        <v>2929862.9388841335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3641828</v>
      </c>
      <c r="E92" s="138">
        <f>IF(ISBLANK(D92),"-",$D$101/$D$98*D92)</f>
        <v>2932917.8282922776</v>
      </c>
      <c r="F92" s="137">
        <v>3551520</v>
      </c>
      <c r="G92" s="139">
        <f>IF(ISBLANK(F92),"-",$D$101/$F$98*F92)</f>
        <v>2926091.9555079001</v>
      </c>
      <c r="I92" s="308">
        <f>ABS((F96/D96*D95)-F95)/D95</f>
        <v>4.7985283052623038E-4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3626444</v>
      </c>
      <c r="E93" s="138">
        <f>IF(ISBLANK(D93),"-",$D$101/$D$98*D93)</f>
        <v>2920528.4436561968</v>
      </c>
      <c r="F93" s="137">
        <v>3557260</v>
      </c>
      <c r="G93" s="139">
        <f>IF(ISBLANK(F93),"-",$D$101/$F$98*F93)</f>
        <v>2930821.1328248279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3635086</v>
      </c>
      <c r="E95" s="148">
        <f>AVERAGE(E91:E94)</f>
        <v>2927488.2110785195</v>
      </c>
      <c r="F95" s="218">
        <f>AVERAGE(F91:F94)</f>
        <v>3554959</v>
      </c>
      <c r="G95" s="219">
        <f>AVERAGE(G91:G94)</f>
        <v>2928925.342405621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15.54</v>
      </c>
      <c r="E96" s="140"/>
      <c r="F96" s="152">
        <v>15.19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15.54</v>
      </c>
      <c r="E97" s="155"/>
      <c r="F97" s="154">
        <f>F96*$B$87</f>
        <v>15.19</v>
      </c>
    </row>
    <row r="98" spans="1:10" ht="19.5" customHeight="1" x14ac:dyDescent="0.3">
      <c r="A98" s="124" t="s">
        <v>76</v>
      </c>
      <c r="B98" s="224">
        <f>(B97/B96)*(B95/B94)*(B903/B92)*(B91/B90)*B89</f>
        <v>0</v>
      </c>
      <c r="C98" s="222" t="s">
        <v>115</v>
      </c>
      <c r="D98" s="225">
        <f>D97*$B$83/100</f>
        <v>15.521352</v>
      </c>
      <c r="E98" s="158"/>
      <c r="F98" s="157">
        <f>F97*$B$83/100</f>
        <v>15.171771999999999</v>
      </c>
    </row>
    <row r="99" spans="1:10" ht="19.5" customHeight="1" x14ac:dyDescent="0.3">
      <c r="A99" s="309" t="s">
        <v>78</v>
      </c>
      <c r="B99" s="323"/>
      <c r="C99" s="222" t="s">
        <v>116</v>
      </c>
      <c r="D99" s="226">
        <v>0.01</v>
      </c>
      <c r="E99" s="158"/>
      <c r="F99" s="161" t="e">
        <f>F98/$B$98</f>
        <v>#DIV/0!</v>
      </c>
      <c r="G99" s="227"/>
      <c r="H99" s="150"/>
    </row>
    <row r="100" spans="1:10" ht="19.5" customHeight="1" x14ac:dyDescent="0.3">
      <c r="A100" s="311"/>
      <c r="B100" s="324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v>12.5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12.5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2928206.7767420704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330">
        <f>STDEV(E91:E94,G91:G94)/D103</f>
        <v>1.495309980617572E-3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5</v>
      </c>
      <c r="C108" s="242">
        <v>1</v>
      </c>
      <c r="D108" s="243">
        <v>2938460</v>
      </c>
      <c r="E108" s="278">
        <f>IF(ISBLANK(D108),"-",D108/$D$103*$D$100*$B$116)</f>
        <v>100.35015366193974</v>
      </c>
      <c r="F108" s="244">
        <f t="shared" ref="F108:F113" si="1">IF(ISBLANK(D108), "-", E108/$B$56)</f>
        <v>1.0035015366193973</v>
      </c>
    </row>
    <row r="109" spans="1:10" ht="26.25" customHeight="1" x14ac:dyDescent="0.4">
      <c r="A109" s="124" t="s">
        <v>95</v>
      </c>
      <c r="B109" s="125">
        <v>50</v>
      </c>
      <c r="C109" s="242">
        <v>2</v>
      </c>
      <c r="D109" s="243">
        <v>2920578</v>
      </c>
      <c r="E109" s="279">
        <f t="shared" ref="E108:E113" si="2">IF(ISBLANK(D109),"-",D109/$D$103*$D$100*$B$116)</f>
        <v>99.739472744798505</v>
      </c>
      <c r="F109" s="245">
        <f>IF(ISBLANK(D109), "-", E109/$B$56)</f>
        <v>0.99739472744798507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2935533</v>
      </c>
      <c r="E110" s="279">
        <f>IF(ISBLANK(D110),"-",D110/$D$103*$D$100*$B$116)</f>
        <v>100.25019487408198</v>
      </c>
      <c r="F110" s="245">
        <f t="shared" si="1"/>
        <v>1.0025019487408198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2931717</v>
      </c>
      <c r="E111" s="279">
        <f t="shared" si="2"/>
        <v>100.1198762083952</v>
      </c>
      <c r="F111" s="245">
        <f t="shared" si="1"/>
        <v>1.001198762083952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2929292</v>
      </c>
      <c r="E112" s="279">
        <f t="shared" si="2"/>
        <v>100.03706101859161</v>
      </c>
      <c r="F112" s="245">
        <f t="shared" si="1"/>
        <v>1.0003706101859162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2933631</v>
      </c>
      <c r="E113" s="280">
        <f t="shared" si="2"/>
        <v>100.18524044480101</v>
      </c>
      <c r="F113" s="248">
        <f t="shared" si="1"/>
        <v>1.0018524044480102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/>
      <c r="E115" s="251" t="s">
        <v>71</v>
      </c>
      <c r="F115" s="252">
        <f>AVERAGE(F108:F113)</f>
        <v>1.0011366649210134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54"/>
      <c r="E116" s="216" t="s">
        <v>84</v>
      </c>
      <c r="F116" s="255">
        <f>STDEV(F108:F113)/F115</f>
        <v>2.12181480072458E-3</v>
      </c>
      <c r="I116" s="98"/>
    </row>
    <row r="117" spans="1:10" ht="27" customHeight="1" x14ac:dyDescent="0.4">
      <c r="A117" s="309" t="s">
        <v>78</v>
      </c>
      <c r="B117" s="310"/>
      <c r="C117" s="256"/>
      <c r="D117" s="257"/>
      <c r="E117" s="258" t="s">
        <v>20</v>
      </c>
      <c r="F117" s="259">
        <f>COUNT(F108:F113)</f>
        <v>6</v>
      </c>
      <c r="I117" s="98"/>
      <c r="J117" s="236"/>
    </row>
    <row r="118" spans="1:10" ht="19.5" customHeight="1" x14ac:dyDescent="0.3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1" t="str">
        <f>B20</f>
        <v>Atenolol</v>
      </c>
      <c r="D120" s="321"/>
      <c r="E120" s="205" t="s">
        <v>124</v>
      </c>
      <c r="F120" s="205"/>
      <c r="G120" s="206">
        <f>F115</f>
        <v>1.0011366649210134</v>
      </c>
      <c r="H120" s="98"/>
      <c r="I120" s="98"/>
    </row>
    <row r="121" spans="1:10" ht="19.5" customHeight="1" x14ac:dyDescent="0.3">
      <c r="A121" s="260"/>
      <c r="B121" s="260"/>
      <c r="C121" s="261"/>
      <c r="D121" s="261"/>
      <c r="E121" s="261"/>
      <c r="F121" s="261"/>
      <c r="G121" s="261"/>
      <c r="H121" s="261"/>
    </row>
    <row r="122" spans="1:10" ht="18.75" x14ac:dyDescent="0.3">
      <c r="B122" s="322" t="s">
        <v>26</v>
      </c>
      <c r="C122" s="322"/>
      <c r="E122" s="211" t="s">
        <v>27</v>
      </c>
      <c r="F122" s="262"/>
      <c r="G122" s="322" t="s">
        <v>28</v>
      </c>
      <c r="H122" s="322"/>
    </row>
    <row r="123" spans="1:10" ht="69.95" customHeight="1" x14ac:dyDescent="0.3">
      <c r="A123" s="263" t="s">
        <v>29</v>
      </c>
      <c r="B123" s="264"/>
      <c r="C123" s="264"/>
      <c r="E123" s="264"/>
      <c r="F123" s="98"/>
      <c r="G123" s="265"/>
      <c r="H123" s="265"/>
    </row>
    <row r="124" spans="1:10" ht="69.95" customHeight="1" x14ac:dyDescent="0.3">
      <c r="A124" s="263" t="s">
        <v>30</v>
      </c>
      <c r="B124" s="266"/>
      <c r="C124" s="266"/>
      <c r="E124" s="266"/>
      <c r="F124" s="98"/>
      <c r="G124" s="267"/>
      <c r="H124" s="267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Atenolol</vt:lpstr>
      <vt:lpstr>Atenolol!Print_Area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2015-07-03T10:30:47Z</cp:lastPrinted>
  <dcterms:created xsi:type="dcterms:W3CDTF">2005-07-05T10:19:27Z</dcterms:created>
  <dcterms:modified xsi:type="dcterms:W3CDTF">2015-07-03T10:31:25Z</dcterms:modified>
  <cp:category/>
</cp:coreProperties>
</file>