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75" windowHeight="11445" activeTab="2"/>
  </bookViews>
  <sheets>
    <sheet name="SST" sheetId="1" r:id="rId1"/>
    <sheet name="Uniformity" sheetId="2" r:id="rId2"/>
    <sheet name="Amphotericin B" sheetId="3" r:id="rId3"/>
  </sheets>
  <definedNames>
    <definedName name="_xlnm.Print_Area" localSheetId="2">'Amphotericin B'!$A$1:$I$83</definedName>
    <definedName name="_xlnm.Print_Area" localSheetId="1">Uniformity!$A$1:$I$52</definedName>
  </definedNames>
  <calcPr calcId="145621"/>
</workbook>
</file>

<file path=xl/calcChain.xml><?xml version="1.0" encoding="utf-8"?>
<calcChain xmlns="http://schemas.openxmlformats.org/spreadsheetml/2006/main">
  <c r="H69" i="3" l="1"/>
  <c r="B21" i="1"/>
  <c r="D25" i="2"/>
  <c r="D23" i="2"/>
  <c r="B57" i="3"/>
  <c r="C76" i="3"/>
  <c r="H71" i="3"/>
  <c r="G71" i="3"/>
  <c r="B68" i="3"/>
  <c r="H67" i="3"/>
  <c r="G67" i="3"/>
  <c r="H63" i="3"/>
  <c r="G63" i="3"/>
  <c r="C56" i="3"/>
  <c r="B55" i="3"/>
  <c r="B45" i="3"/>
  <c r="D48" i="3" s="1"/>
  <c r="D49" i="3" s="1"/>
  <c r="F42" i="3"/>
  <c r="D42" i="3"/>
  <c r="G41" i="3"/>
  <c r="E41" i="3"/>
  <c r="B34" i="3"/>
  <c r="F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4" i="2"/>
  <c r="D22" i="2"/>
  <c r="D2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2" i="2" l="1"/>
  <c r="B69" i="3"/>
  <c r="F45" i="3"/>
  <c r="D43" i="2"/>
  <c r="E39" i="2" s="1"/>
  <c r="D44" i="3"/>
  <c r="D45" i="3" s="1"/>
  <c r="E33" i="2" l="1"/>
  <c r="E23" i="2"/>
  <c r="F46" i="3"/>
  <c r="G40" i="3"/>
  <c r="G38" i="3"/>
  <c r="G39" i="3"/>
  <c r="D46" i="3"/>
  <c r="E39" i="3"/>
  <c r="E40" i="3"/>
  <c r="E38" i="3"/>
  <c r="D48" i="2"/>
  <c r="B47" i="2"/>
  <c r="C47" i="2"/>
  <c r="E38" i="2"/>
  <c r="E34" i="2"/>
  <c r="E26" i="2"/>
  <c r="C48" i="2"/>
  <c r="E40" i="2"/>
  <c r="E36" i="2"/>
  <c r="E32" i="2"/>
  <c r="E28" i="2"/>
  <c r="E22" i="2"/>
  <c r="D47" i="2"/>
  <c r="E30" i="2"/>
  <c r="E24" i="2"/>
  <c r="E35" i="2"/>
  <c r="E29" i="2"/>
  <c r="E21" i="2"/>
  <c r="E31" i="2"/>
  <c r="E25" i="2"/>
  <c r="E27" i="2"/>
  <c r="E37" i="2"/>
  <c r="D50" i="3" l="1"/>
  <c r="E42" i="3"/>
  <c r="D52" i="3"/>
  <c r="G42" i="3"/>
  <c r="D51" i="3" l="1"/>
  <c r="G68" i="3"/>
  <c r="H68" i="3" s="1"/>
  <c r="G66" i="3"/>
  <c r="H66" i="3" s="1"/>
  <c r="G61" i="3"/>
  <c r="H61" i="3" s="1"/>
  <c r="G70" i="3"/>
  <c r="H70" i="3" s="1"/>
  <c r="G60" i="3"/>
  <c r="H60" i="3" s="1"/>
  <c r="G62" i="3"/>
  <c r="H62" i="3" s="1"/>
  <c r="G69" i="3"/>
  <c r="G64" i="3"/>
  <c r="H64" i="3" s="1"/>
  <c r="G65" i="3"/>
  <c r="H65" i="3" s="1"/>
  <c r="H72" i="3" l="1"/>
  <c r="G76" i="3" s="1"/>
  <c r="H74" i="3"/>
  <c r="H73" i="3" l="1"/>
</calcChain>
</file>

<file path=xl/sharedStrings.xml><?xml version="1.0" encoding="utf-8"?>
<sst xmlns="http://schemas.openxmlformats.org/spreadsheetml/2006/main" count="174" uniqueCount="116">
  <si>
    <t>HPLC System Suitability Report</t>
  </si>
  <si>
    <t>Analysis Data</t>
  </si>
  <si>
    <t>Assay</t>
  </si>
  <si>
    <t>Sample(s)</t>
  </si>
  <si>
    <t>Reference Substance:</t>
  </si>
  <si>
    <t>Amphotret-50mg Injection</t>
  </si>
  <si>
    <t>% age Purity:</t>
  </si>
  <si>
    <t>NDQD201506287</t>
  </si>
  <si>
    <t>Weight (mg):</t>
  </si>
  <si>
    <t>Amphotericin 50mg</t>
  </si>
  <si>
    <t>Standard Conc (mg/mL):</t>
  </si>
  <si>
    <t>Each vials contains Amphotericin 50mg</t>
  </si>
  <si>
    <t>2015-06-29 12:43:19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</si>
  <si>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</si>
  <si>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</si>
  <si>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</si>
  <si>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</si>
  <si>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</si>
  <si>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</si>
  <si>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</si>
  <si>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</si>
  <si>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</si>
  <si>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</si>
  <si>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</si>
  <si>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</si>
  <si>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</si>
  <si>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</si>
  <si>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</si>
  <si>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</si>
  <si>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</si>
  <si>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</si>
  <si>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</si>
  <si>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</si>
  <si>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</si>
  <si>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</si>
  <si>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</si>
  <si>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</si>
  <si>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</si>
  <si>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</si>
  <si>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2015-07-17 10:27:06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</si>
  <si>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</si>
  <si>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</si>
  <si>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</si>
  <si>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</si>
  <si>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</si>
  <si>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</si>
  <si>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</si>
  <si>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</si>
  <si>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</si>
  <si>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</si>
  <si>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</si>
  <si>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</si>
  <si>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</si>
  <si>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</si>
  <si>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</si>
  <si>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</si>
  <si>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</si>
  <si>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</si>
  <si>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</si>
  <si>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</si>
  <si>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</si>
  <si>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</si>
  <si>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</si>
  <si>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</si>
  <si>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</si>
  <si>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</si>
  <si>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</si>
  <si>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</si>
  <si>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</si>
  <si>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</si>
  <si>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</si>
  <si>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</si>
  <si>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</si>
  <si>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</si>
  <si>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</si>
  <si>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</si>
  <si>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</si>
  <si>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</si>
  <si>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</si>
  <si>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</si>
  <si>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</si>
  <si>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</si>
  <si>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</si>
  <si>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</si>
  <si>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</si>
  <si>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</si>
  <si>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</si>
  <si>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</si>
  <si>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</si>
  <si>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</si>
  <si>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</si>
  <si>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</si>
  <si>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</si>
  <si>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</si>
  <si>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</si>
  <si>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</si>
  <si>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</si>
  <si>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</si>
  <si>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</si>
  <si>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</si>
  <si>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</si>
  <si>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</si>
  <si>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</si>
  <si>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</si>
  <si>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</si>
  <si>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</si>
  <si>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</si>
  <si>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</si>
  <si>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</si>
  <si>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</si>
  <si>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</si>
  <si>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</si>
  <si>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17th July 2015</t>
  </si>
  <si>
    <t>Amphotericin B</t>
  </si>
  <si>
    <t>A 19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</si>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</sst>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0.000"/>
    <numFmt numFmtId="171" formatCode="0\ &quot;mg&quot;"/>
  </numFmts>
  <fonts count="2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5" fontId="13" fillId="3" borderId="0" xfId="0" applyNumberFormat="1" applyFont="1" applyFill="1" applyAlignment="1" applyProtection="1">
      <alignment horizontal="left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0" fontId="11" fillId="2" borderId="38" xfId="0" applyNumberFormat="1" applyFont="1" applyFill="1" applyBorder="1" applyAlignment="1">
      <alignment horizontal="center"/>
    </xf>
    <xf numFmtId="170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0" fontId="11" fillId="2" borderId="42" xfId="0" applyNumberFormat="1" applyFont="1" applyFill="1" applyBorder="1" applyAlignment="1">
      <alignment horizontal="center"/>
    </xf>
    <xf numFmtId="170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0" fontId="11" fillId="2" borderId="45" xfId="0" applyNumberFormat="1" applyFont="1" applyFill="1" applyBorder="1" applyAlignment="1">
      <alignment horizontal="center"/>
    </xf>
    <xf numFmtId="170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0" fontId="12" fillId="6" borderId="47" xfId="0" applyNumberFormat="1" applyFont="1" applyFill="1" applyBorder="1" applyAlignment="1">
      <alignment horizontal="center"/>
    </xf>
    <xf numFmtId="170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0" fontId="12" fillId="7" borderId="31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164" fontId="2" fillId="3" borderId="16" xfId="0" applyNumberFormat="1" applyFont="1" applyFill="1" applyBorder="1" applyAlignment="1" applyProtection="1">
      <alignment horizontal="center"/>
      <protection locked="0"/>
    </xf>
    <xf numFmtId="164" fontId="2" fillId="3" borderId="17" xfId="0" applyNumberFormat="1" applyFont="1" applyFill="1" applyBorder="1" applyAlignment="1" applyProtection="1">
      <alignment horizontal="center"/>
      <protection locked="0"/>
    </xf>
    <xf numFmtId="164" fontId="2" fillId="3" borderId="15" xfId="0" applyNumberFormat="1" applyFont="1" applyFill="1" applyBorder="1" applyAlignment="1" applyProtection="1">
      <alignment horizontal="center"/>
      <protection locked="0"/>
    </xf>
    <xf numFmtId="164" fontId="2" fillId="3" borderId="14" xfId="0" applyNumberFormat="1" applyFont="1" applyFill="1" applyBorder="1" applyAlignment="1" applyProtection="1">
      <alignment horizontal="center"/>
      <protection locked="0"/>
    </xf>
    <xf numFmtId="164" fontId="2" fillId="3" borderId="16" xfId="0" applyNumberFormat="1" applyFont="1" applyFill="1" applyBorder="1" applyAlignment="1" applyProtection="1">
      <alignment horizontal="center" wrapText="1"/>
      <protection locked="0"/>
    </xf>
    <xf numFmtId="164" fontId="2" fillId="3" borderId="19" xfId="0" applyNumberFormat="1" applyFont="1" applyFill="1" applyBorder="1" applyAlignment="1" applyProtection="1">
      <alignment horizontal="center" wrapText="1"/>
      <protection locked="0"/>
    </xf>
    <xf numFmtId="164" fontId="2" fillId="3" borderId="18" xfId="0" applyNumberFormat="1" applyFont="1" applyFill="1" applyBorder="1" applyAlignment="1" applyProtection="1">
      <alignment horizontal="center"/>
      <protection locked="0"/>
    </xf>
    <xf numFmtId="164" fontId="2" fillId="2" borderId="14" xfId="0" applyNumberFormat="1" applyFont="1" applyFill="1" applyBorder="1" applyAlignment="1">
      <alignment horizontal="center"/>
    </xf>
    <xf numFmtId="164" fontId="2" fillId="2" borderId="17" xfId="0" applyNumberFormat="1" applyFont="1" applyFill="1" applyBorder="1" applyAlignment="1">
      <alignment horizontal="center"/>
    </xf>
    <xf numFmtId="164" fontId="2" fillId="2" borderId="18" xfId="0" applyNumberFormat="1" applyFont="1" applyFill="1" applyBorder="1" applyAlignment="1">
      <alignment horizontal="center"/>
    </xf>
    <xf numFmtId="164" fontId="1" fillId="2" borderId="27" xfId="0" applyNumberFormat="1" applyFont="1" applyFill="1" applyBorder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zoomScale="60" zoomScaleNormal="100" workbookViewId="0">
      <selection sqref="A1:XFD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26" t="s">
        <v>0</v>
      </c>
      <c r="B15" s="226"/>
      <c r="C15" s="226"/>
      <c r="D15" s="226"/>
      <c r="E15" s="22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>
        <v>18.440000000000001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B20/20*2/20</f>
        <v>9.2200000000000004E-2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20176634</v>
      </c>
      <c r="C24" s="18">
        <v>2188.6999999999998</v>
      </c>
      <c r="D24" s="19">
        <v>1.4</v>
      </c>
      <c r="E24" s="20">
        <v>3.3</v>
      </c>
    </row>
    <row r="25" spans="1:6" ht="16.5" customHeight="1" x14ac:dyDescent="0.3">
      <c r="A25" s="17">
        <v>2</v>
      </c>
      <c r="B25" s="18">
        <v>20591150</v>
      </c>
      <c r="C25" s="18">
        <v>2254.8000000000002</v>
      </c>
      <c r="D25" s="19">
        <v>1.4</v>
      </c>
      <c r="E25" s="19">
        <v>3.3</v>
      </c>
    </row>
    <row r="26" spans="1:6" ht="16.5" customHeight="1" x14ac:dyDescent="0.3">
      <c r="A26" s="17">
        <v>3</v>
      </c>
      <c r="B26" s="18">
        <v>20728052</v>
      </c>
      <c r="C26" s="18">
        <v>2223.1999999999998</v>
      </c>
      <c r="D26" s="19">
        <v>1.4</v>
      </c>
      <c r="E26" s="19">
        <v>3.3</v>
      </c>
    </row>
    <row r="27" spans="1:6" ht="16.5" customHeight="1" x14ac:dyDescent="0.3">
      <c r="A27" s="17">
        <v>4</v>
      </c>
      <c r="B27" s="18">
        <v>20178998</v>
      </c>
      <c r="C27" s="18">
        <v>2247.3000000000002</v>
      </c>
      <c r="D27" s="19">
        <v>1.4</v>
      </c>
      <c r="E27" s="19">
        <v>3.3</v>
      </c>
    </row>
    <row r="28" spans="1:6" ht="16.5" customHeight="1" x14ac:dyDescent="0.3">
      <c r="A28" s="17">
        <v>5</v>
      </c>
      <c r="B28" s="18">
        <v>20361138</v>
      </c>
      <c r="C28" s="18">
        <v>2275</v>
      </c>
      <c r="D28" s="19">
        <v>1.4</v>
      </c>
      <c r="E28" s="19">
        <v>3.3</v>
      </c>
    </row>
    <row r="29" spans="1:6" ht="16.5" customHeight="1" x14ac:dyDescent="0.3">
      <c r="A29" s="17">
        <v>6</v>
      </c>
      <c r="B29" s="21">
        <v>20492092</v>
      </c>
      <c r="C29" s="21">
        <v>2331.1</v>
      </c>
      <c r="D29" s="22">
        <v>1.4</v>
      </c>
      <c r="E29" s="22">
        <v>3.3</v>
      </c>
    </row>
    <row r="30" spans="1:6" ht="16.5" customHeight="1" x14ac:dyDescent="0.3">
      <c r="A30" s="23" t="s">
        <v>18</v>
      </c>
      <c r="B30" s="24">
        <f>AVERAGE(B24:B29)</f>
        <v>20421344</v>
      </c>
      <c r="C30" s="25">
        <f>AVERAGE(C24:C29)</f>
        <v>2253.35</v>
      </c>
      <c r="D30" s="26">
        <f>AVERAGE(D24:D29)</f>
        <v>1.4000000000000001</v>
      </c>
      <c r="E30" s="26">
        <f>AVERAGE(E24:E29)</f>
        <v>3.3000000000000003</v>
      </c>
    </row>
    <row r="31" spans="1:6" ht="16.5" customHeight="1" x14ac:dyDescent="0.3">
      <c r="A31" s="27" t="s">
        <v>19</v>
      </c>
      <c r="B31" s="28">
        <f>(STDEV(B24:B29)/B30)</f>
        <v>1.0952912416037077E-2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27" t="s">
        <v>26</v>
      </c>
      <c r="C59" s="22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115</v>
      </c>
      <c r="C60" s="48"/>
      <c r="E60" s="48" t="s">
        <v>112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view="pageBreakPreview" topLeftCell="A16" zoomScale="60" zoomScaleNormal="100" workbookViewId="0">
      <selection activeCell="G37" sqref="G37:G38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230" t="s">
        <v>31</v>
      </c>
      <c r="B8" s="230"/>
      <c r="C8" s="230"/>
      <c r="D8" s="230"/>
      <c r="E8" s="230"/>
      <c r="F8" s="230"/>
      <c r="G8" s="230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231" t="s">
        <v>32</v>
      </c>
      <c r="B10" s="231"/>
      <c r="C10" s="231"/>
      <c r="D10" s="231"/>
      <c r="E10" s="231"/>
      <c r="F10" s="231"/>
      <c r="G10" s="231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228" t="s">
        <v>33</v>
      </c>
      <c r="B11" s="228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228" t="s">
        <v>34</v>
      </c>
      <c r="B12" s="228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228" t="s">
        <v>35</v>
      </c>
      <c r="B13" s="228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228" t="s">
        <v>36</v>
      </c>
      <c r="B14" s="228"/>
      <c r="C14" s="229" t="s">
        <v>11</v>
      </c>
      <c r="D14" s="229"/>
      <c r="E14" s="229"/>
      <c r="F14" s="229"/>
      <c r="G14" s="229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228" t="s">
        <v>37</v>
      </c>
      <c r="B15" s="228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228" t="s">
        <v>38</v>
      </c>
      <c r="B16" s="228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232" t="s">
        <v>1</v>
      </c>
      <c r="B18" s="232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266">
        <v>22.252230000000001</v>
      </c>
      <c r="C21" s="267">
        <v>22.134679999999999</v>
      </c>
      <c r="D21" s="271">
        <f t="shared" ref="D21:D40" si="0">B21-C21</f>
        <v>0.11755000000000138</v>
      </c>
      <c r="E21" s="82">
        <f t="shared" ref="E21:E40" si="1">(D21-$D$43)/$D$43</f>
        <v>0.10479842480464055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3">
        <v>2</v>
      </c>
      <c r="B22" s="264">
        <v>22.126000000000001</v>
      </c>
      <c r="C22" s="265">
        <v>22.008679999999998</v>
      </c>
      <c r="D22" s="272">
        <f t="shared" si="0"/>
        <v>0.11732000000000298</v>
      </c>
      <c r="E22" s="82">
        <f t="shared" si="1"/>
        <v>0.10263676051112039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3">
        <v>3</v>
      </c>
      <c r="B23" s="264">
        <v>21.977810000000002</v>
      </c>
      <c r="C23" s="265">
        <v>21.895389999999999</v>
      </c>
      <c r="D23" s="272">
        <f t="shared" si="0"/>
        <v>8.2420000000002602E-2</v>
      </c>
      <c r="E23" s="82">
        <f t="shared" si="1"/>
        <v>-0.22537229968183511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3">
        <v>4</v>
      </c>
      <c r="B24" s="264">
        <v>22.52713</v>
      </c>
      <c r="C24" s="265">
        <v>22.413170000000001</v>
      </c>
      <c r="D24" s="272">
        <f t="shared" si="0"/>
        <v>0.11395999999999873</v>
      </c>
      <c r="E24" s="82">
        <f t="shared" si="1"/>
        <v>7.1057664744652985E-2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3">
        <v>5</v>
      </c>
      <c r="B25" s="264">
        <v>21.892219999999998</v>
      </c>
      <c r="C25" s="265">
        <v>21.844560000000001</v>
      </c>
      <c r="D25" s="272">
        <f t="shared" si="0"/>
        <v>4.7659999999996927E-2</v>
      </c>
      <c r="E25" s="82">
        <f t="shared" si="1"/>
        <v>-0.55206556421790598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3">
        <v>6</v>
      </c>
      <c r="B26" s="264">
        <v>22.033770000000001</v>
      </c>
      <c r="C26" s="265">
        <v>21.918610000000001</v>
      </c>
      <c r="D26" s="272">
        <f t="shared" si="0"/>
        <v>0.11515999999999948</v>
      </c>
      <c r="E26" s="82">
        <f t="shared" si="1"/>
        <v>8.2335913232669908E-2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3">
        <v>7</v>
      </c>
      <c r="B27" s="264">
        <v>22.258780000000002</v>
      </c>
      <c r="C27" s="265">
        <v>22.14978</v>
      </c>
      <c r="D27" s="272">
        <f t="shared" si="0"/>
        <v>0.10900000000000176</v>
      </c>
      <c r="E27" s="82">
        <f t="shared" si="1"/>
        <v>2.4440904327574283E-2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3">
        <v>8</v>
      </c>
      <c r="B28" s="264">
        <v>21.912179999999999</v>
      </c>
      <c r="C28" s="265">
        <v>21.799859999999999</v>
      </c>
      <c r="D28" s="272">
        <f t="shared" si="0"/>
        <v>0.11232000000000042</v>
      </c>
      <c r="E28" s="82">
        <f t="shared" si="1"/>
        <v>5.5644058477722136E-2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3">
        <v>9</v>
      </c>
      <c r="B29" s="264">
        <v>22.774450000000002</v>
      </c>
      <c r="C29" s="265">
        <v>22.660620000000002</v>
      </c>
      <c r="D29" s="272">
        <f t="shared" si="0"/>
        <v>0.1138300000000001</v>
      </c>
      <c r="E29" s="82">
        <f t="shared" si="1"/>
        <v>6.9835854491798119E-2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3">
        <v>10</v>
      </c>
      <c r="B30" s="268">
        <v>21.741230000000002</v>
      </c>
      <c r="C30" s="265">
        <v>21.631170000000001</v>
      </c>
      <c r="D30" s="272">
        <f t="shared" si="0"/>
        <v>0.11006000000000071</v>
      </c>
      <c r="E30" s="82">
        <f t="shared" si="1"/>
        <v>3.440335715863975E-2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3">
        <v>11</v>
      </c>
      <c r="B31" s="268">
        <v>22.21012</v>
      </c>
      <c r="C31" s="265">
        <v>22.09674</v>
      </c>
      <c r="D31" s="272">
        <f t="shared" si="0"/>
        <v>0.11337999999999937</v>
      </c>
      <c r="E31" s="82">
        <f t="shared" si="1"/>
        <v>6.5606511308787613E-2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3">
        <v>12</v>
      </c>
      <c r="B32" s="268">
        <v>21.995139999999999</v>
      </c>
      <c r="C32" s="265">
        <v>21.879090000000001</v>
      </c>
      <c r="D32" s="272">
        <f t="shared" si="0"/>
        <v>0.11604999999999777</v>
      </c>
      <c r="E32" s="82">
        <f t="shared" si="1"/>
        <v>9.0700614194594353E-2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3">
        <v>13</v>
      </c>
      <c r="B33" s="268">
        <v>21.864370000000001</v>
      </c>
      <c r="C33" s="265">
        <v>21.752320000000001</v>
      </c>
      <c r="D33" s="272">
        <f t="shared" si="0"/>
        <v>0.11204999999999998</v>
      </c>
      <c r="E33" s="82">
        <f t="shared" si="1"/>
        <v>5.3106452567915824E-2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3">
        <v>14</v>
      </c>
      <c r="B34" s="268">
        <v>21.918489999999998</v>
      </c>
      <c r="C34" s="265">
        <v>21.82067</v>
      </c>
      <c r="D34" s="272">
        <f t="shared" si="0"/>
        <v>9.7819999999998686E-2</v>
      </c>
      <c r="E34" s="82">
        <f t="shared" si="1"/>
        <v>-8.0634777419079359E-2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3">
        <v>15</v>
      </c>
      <c r="B35" s="268">
        <v>22.51633</v>
      </c>
      <c r="C35" s="265">
        <v>22.402950000000001</v>
      </c>
      <c r="D35" s="272">
        <f t="shared" si="0"/>
        <v>0.11337999999999937</v>
      </c>
      <c r="E35" s="82">
        <f t="shared" si="1"/>
        <v>6.5606511308787613E-2</v>
      </c>
      <c r="G35" s="59"/>
      <c r="J35" s="59"/>
      <c r="K35" s="65"/>
      <c r="L35" s="60"/>
      <c r="N35" s="60"/>
    </row>
    <row r="36" spans="1:15" ht="15" x14ac:dyDescent="0.3">
      <c r="A36" s="83">
        <v>16</v>
      </c>
      <c r="B36" s="268">
        <v>21.934090000000001</v>
      </c>
      <c r="C36" s="265">
        <v>21.81813</v>
      </c>
      <c r="D36" s="272">
        <f t="shared" si="0"/>
        <v>0.11596000000000117</v>
      </c>
      <c r="E36" s="82">
        <f t="shared" si="1"/>
        <v>8.9854745558025639E-2</v>
      </c>
      <c r="G36" s="66"/>
      <c r="H36" s="66"/>
    </row>
    <row r="37" spans="1:15" ht="15" x14ac:dyDescent="0.3">
      <c r="A37" s="83">
        <v>17</v>
      </c>
      <c r="B37" s="268">
        <v>22.464410000000001</v>
      </c>
      <c r="C37" s="265">
        <v>22.354330000000001</v>
      </c>
      <c r="D37" s="272">
        <f t="shared" si="0"/>
        <v>0.11007999999999996</v>
      </c>
      <c r="E37" s="82">
        <f t="shared" si="1"/>
        <v>3.4591327966766131E-2</v>
      </c>
    </row>
    <row r="38" spans="1:15" ht="15" x14ac:dyDescent="0.3">
      <c r="A38" s="83">
        <v>18</v>
      </c>
      <c r="B38" s="268">
        <v>22.674050000000001</v>
      </c>
      <c r="C38" s="265">
        <v>22.573350000000001</v>
      </c>
      <c r="D38" s="272">
        <f t="shared" si="0"/>
        <v>0.10069999999999979</v>
      </c>
      <c r="E38" s="82">
        <f t="shared" si="1"/>
        <v>-5.3566981047845443E-2</v>
      </c>
    </row>
    <row r="39" spans="1:15" ht="15" x14ac:dyDescent="0.3">
      <c r="A39" s="83">
        <v>19</v>
      </c>
      <c r="B39" s="268">
        <v>22.17239</v>
      </c>
      <c r="C39" s="265">
        <v>22.069649999999999</v>
      </c>
      <c r="D39" s="272">
        <f t="shared" si="0"/>
        <v>0.10274000000000072</v>
      </c>
      <c r="E39" s="82">
        <f t="shared" si="1"/>
        <v>-3.4393958618220026E-2</v>
      </c>
    </row>
    <row r="40" spans="1:15" ht="14.25" customHeight="1" x14ac:dyDescent="0.3">
      <c r="A40" s="84">
        <v>20</v>
      </c>
      <c r="B40" s="269">
        <v>21.94707</v>
      </c>
      <c r="C40" s="270">
        <v>21.840520000000001</v>
      </c>
      <c r="D40" s="273">
        <f t="shared" si="0"/>
        <v>0.10654999999999859</v>
      </c>
      <c r="E40" s="85">
        <f t="shared" si="1"/>
        <v>1.4144803311911091E-3</v>
      </c>
    </row>
    <row r="41" spans="1:15" ht="14.25" customHeight="1" x14ac:dyDescent="0.3">
      <c r="B41" s="73"/>
      <c r="D41" s="61"/>
      <c r="G41" s="54"/>
    </row>
    <row r="42" spans="1:15" x14ac:dyDescent="0.3">
      <c r="A42" s="86" t="s">
        <v>46</v>
      </c>
      <c r="B42" s="87">
        <f>SUM(B21:B40)</f>
        <v>443.19226000000003</v>
      </c>
      <c r="C42" s="88">
        <f>SUM(C21:C40)</f>
        <v>441.06427000000002</v>
      </c>
      <c r="D42" s="89">
        <f>SUM(D21:D40)</f>
        <v>2.1279900000000005</v>
      </c>
    </row>
    <row r="43" spans="1:15" ht="15.75" customHeight="1" x14ac:dyDescent="0.3">
      <c r="A43" s="90" t="s">
        <v>47</v>
      </c>
      <c r="B43" s="91">
        <f>AVERAGE(B21:B40)</f>
        <v>22.159613</v>
      </c>
      <c r="C43" s="92">
        <f>AVERAGE(C21:C40)</f>
        <v>22.053213500000002</v>
      </c>
      <c r="D43" s="274">
        <f>AVERAGE(D21:D40)</f>
        <v>0.10639950000000002</v>
      </c>
    </row>
    <row r="44" spans="1:15" x14ac:dyDescent="0.3">
      <c r="A44" s="67"/>
      <c r="B44" s="93"/>
      <c r="C44" s="93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94" t="s">
        <v>47</v>
      </c>
      <c r="C46" s="95" t="s">
        <v>48</v>
      </c>
    </row>
    <row r="47" spans="1:15" ht="15.75" customHeight="1" x14ac:dyDescent="0.3">
      <c r="B47" s="233">
        <f>D43</f>
        <v>0.10639950000000002</v>
      </c>
      <c r="C47" s="96">
        <f>-(IF(D43&gt;300, 7.5%, 10%))</f>
        <v>-0.1</v>
      </c>
      <c r="D47" s="97">
        <f>IF(D43&lt;300, D43*0.9, D43*0.925)</f>
        <v>9.5759550000000027E-2</v>
      </c>
    </row>
    <row r="48" spans="1:15" ht="15.75" customHeight="1" x14ac:dyDescent="0.3">
      <c r="B48" s="234"/>
      <c r="C48" s="98">
        <f>+(IF(D43&gt;300, 7.5%, 10%))</f>
        <v>0.1</v>
      </c>
      <c r="D48" s="97">
        <f>IF(D43&lt;300, D43*1.1, D43*1.075)</f>
        <v>0.11703945000000003</v>
      </c>
    </row>
    <row r="49" spans="1:7" ht="14.25" customHeight="1" x14ac:dyDescent="0.3">
      <c r="A49" s="99"/>
      <c r="D49" s="100"/>
    </row>
    <row r="50" spans="1:7" ht="15" customHeight="1" x14ac:dyDescent="0.3">
      <c r="B50" s="227" t="s">
        <v>26</v>
      </c>
      <c r="C50" s="227"/>
      <c r="D50" s="73"/>
      <c r="E50" s="101" t="s">
        <v>27</v>
      </c>
      <c r="F50" s="102"/>
      <c r="G50" s="101" t="s">
        <v>28</v>
      </c>
    </row>
    <row r="51" spans="1:7" ht="15" customHeight="1" x14ac:dyDescent="0.3">
      <c r="A51" s="103" t="s">
        <v>29</v>
      </c>
      <c r="B51" s="104"/>
      <c r="C51" s="104"/>
      <c r="D51" s="73"/>
      <c r="E51" s="104"/>
      <c r="F51" s="67"/>
      <c r="G51" s="105"/>
    </row>
    <row r="52" spans="1:7" ht="15" customHeight="1" x14ac:dyDescent="0.3">
      <c r="A52" s="103" t="s">
        <v>30</v>
      </c>
      <c r="B52" s="106"/>
      <c r="C52" s="106"/>
      <c r="D52" s="73"/>
      <c r="E52" s="106"/>
      <c r="F52" s="67"/>
      <c r="G52" s="107"/>
    </row>
  </sheetData>
  <sheetProtection formatCells="0" formatColumns="0" formatRows="0" insertColumns="0" insertRows="0" insertHyperlinks="0" deleteColumns="0" deleteRows="0" sort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0866141732283472" right="0.70866141732283472" top="0.74803149606299213" bottom="0.74803149606299213" header="0.31496062992125984" footer="0.31496062992125984"/>
  <pageSetup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43" zoomScale="60" zoomScaleNormal="78" workbookViewId="0">
      <selection activeCell="E73" sqref="E73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35" t="s">
        <v>49</v>
      </c>
      <c r="B1" s="235"/>
      <c r="C1" s="235"/>
      <c r="D1" s="235"/>
      <c r="E1" s="235"/>
      <c r="F1" s="235"/>
      <c r="G1" s="235"/>
      <c r="H1" s="235"/>
    </row>
    <row r="2" spans="1:8" x14ac:dyDescent="0.2">
      <c r="A2" s="235"/>
      <c r="B2" s="235"/>
      <c r="C2" s="235"/>
      <c r="D2" s="235"/>
      <c r="E2" s="235"/>
      <c r="F2" s="235"/>
      <c r="G2" s="235"/>
      <c r="H2" s="235"/>
    </row>
    <row r="3" spans="1:8" x14ac:dyDescent="0.2">
      <c r="A3" s="235"/>
      <c r="B3" s="235"/>
      <c r="C3" s="235"/>
      <c r="D3" s="235"/>
      <c r="E3" s="235"/>
      <c r="F3" s="235"/>
      <c r="G3" s="235"/>
      <c r="H3" s="235"/>
    </row>
    <row r="4" spans="1:8" x14ac:dyDescent="0.2">
      <c r="A4" s="235"/>
      <c r="B4" s="235"/>
      <c r="C4" s="235"/>
      <c r="D4" s="235"/>
      <c r="E4" s="235"/>
      <c r="F4" s="235"/>
      <c r="G4" s="235"/>
      <c r="H4" s="235"/>
    </row>
    <row r="5" spans="1:8" x14ac:dyDescent="0.2">
      <c r="A5" s="235"/>
      <c r="B5" s="235"/>
      <c r="C5" s="235"/>
      <c r="D5" s="235"/>
      <c r="E5" s="235"/>
      <c r="F5" s="235"/>
      <c r="G5" s="235"/>
      <c r="H5" s="235"/>
    </row>
    <row r="6" spans="1:8" x14ac:dyDescent="0.2">
      <c r="A6" s="235"/>
      <c r="B6" s="235"/>
      <c r="C6" s="235"/>
      <c r="D6" s="235"/>
      <c r="E6" s="235"/>
      <c r="F6" s="235"/>
      <c r="G6" s="235"/>
      <c r="H6" s="235"/>
    </row>
    <row r="7" spans="1:8" x14ac:dyDescent="0.2">
      <c r="A7" s="235"/>
      <c r="B7" s="235"/>
      <c r="C7" s="235"/>
      <c r="D7" s="235"/>
      <c r="E7" s="235"/>
      <c r="F7" s="235"/>
      <c r="G7" s="235"/>
      <c r="H7" s="235"/>
    </row>
    <row r="8" spans="1:8" x14ac:dyDescent="0.2">
      <c r="A8" s="236" t="s">
        <v>50</v>
      </c>
      <c r="B8" s="236"/>
      <c r="C8" s="236"/>
      <c r="D8" s="236"/>
      <c r="E8" s="236"/>
      <c r="F8" s="236"/>
      <c r="G8" s="236"/>
      <c r="H8" s="236"/>
    </row>
    <row r="9" spans="1:8" x14ac:dyDescent="0.2">
      <c r="A9" s="236"/>
      <c r="B9" s="236"/>
      <c r="C9" s="236"/>
      <c r="D9" s="236"/>
      <c r="E9" s="236"/>
      <c r="F9" s="236"/>
      <c r="G9" s="236"/>
      <c r="H9" s="236"/>
    </row>
    <row r="10" spans="1:8" x14ac:dyDescent="0.2">
      <c r="A10" s="236"/>
      <c r="B10" s="236"/>
      <c r="C10" s="236"/>
      <c r="D10" s="236"/>
      <c r="E10" s="236"/>
      <c r="F10" s="236"/>
      <c r="G10" s="236"/>
      <c r="H10" s="236"/>
    </row>
    <row r="11" spans="1:8" x14ac:dyDescent="0.2">
      <c r="A11" s="236"/>
      <c r="B11" s="236"/>
      <c r="C11" s="236"/>
      <c r="D11" s="236"/>
      <c r="E11" s="236"/>
      <c r="F11" s="236"/>
      <c r="G11" s="236"/>
      <c r="H11" s="236"/>
    </row>
    <row r="12" spans="1:8" x14ac:dyDescent="0.2">
      <c r="A12" s="236"/>
      <c r="B12" s="236"/>
      <c r="C12" s="236"/>
      <c r="D12" s="236"/>
      <c r="E12" s="236"/>
      <c r="F12" s="236"/>
      <c r="G12" s="236"/>
      <c r="H12" s="236"/>
    </row>
    <row r="13" spans="1:8" x14ac:dyDescent="0.2">
      <c r="A13" s="236"/>
      <c r="B13" s="236"/>
      <c r="C13" s="236"/>
      <c r="D13" s="236"/>
      <c r="E13" s="236"/>
      <c r="F13" s="236"/>
      <c r="G13" s="236"/>
      <c r="H13" s="236"/>
    </row>
    <row r="14" spans="1:8" x14ac:dyDescent="0.2">
      <c r="A14" s="236"/>
      <c r="B14" s="236"/>
      <c r="C14" s="236"/>
      <c r="D14" s="236"/>
      <c r="E14" s="236"/>
      <c r="F14" s="236"/>
      <c r="G14" s="236"/>
      <c r="H14" s="236"/>
    </row>
    <row r="15" spans="1:8" ht="19.5" customHeight="1" x14ac:dyDescent="0.3">
      <c r="A15" s="108"/>
      <c r="B15" s="108"/>
      <c r="C15" s="108"/>
      <c r="D15" s="108"/>
      <c r="E15" s="108"/>
      <c r="F15" s="108"/>
      <c r="G15" s="108"/>
      <c r="H15" s="108"/>
    </row>
    <row r="16" spans="1:8" ht="19.5" customHeight="1" x14ac:dyDescent="0.3">
      <c r="A16" s="243" t="s">
        <v>31</v>
      </c>
      <c r="B16" s="244"/>
      <c r="C16" s="244"/>
      <c r="D16" s="244"/>
      <c r="E16" s="244"/>
      <c r="F16" s="244"/>
      <c r="G16" s="244"/>
      <c r="H16" s="245"/>
    </row>
    <row r="17" spans="1:8" ht="18.75" customHeight="1" x14ac:dyDescent="0.3">
      <c r="A17" s="109" t="s">
        <v>51</v>
      </c>
      <c r="B17" s="109"/>
      <c r="C17" s="108"/>
      <c r="D17" s="108"/>
      <c r="E17" s="108"/>
      <c r="F17" s="108"/>
      <c r="G17" s="108"/>
      <c r="H17" s="108"/>
    </row>
    <row r="18" spans="1:8" ht="26.25" customHeight="1" x14ac:dyDescent="0.4">
      <c r="A18" s="110" t="s">
        <v>33</v>
      </c>
      <c r="B18" s="246" t="s">
        <v>5</v>
      </c>
      <c r="C18" s="246"/>
      <c r="D18" s="246"/>
      <c r="E18" s="246"/>
      <c r="F18" s="108"/>
      <c r="G18" s="108"/>
      <c r="H18" s="108"/>
    </row>
    <row r="19" spans="1:8" ht="26.25" customHeight="1" x14ac:dyDescent="0.4">
      <c r="A19" s="110" t="s">
        <v>34</v>
      </c>
      <c r="B19" s="111" t="s">
        <v>7</v>
      </c>
      <c r="C19" s="108">
        <v>8</v>
      </c>
      <c r="D19" s="108"/>
      <c r="E19" s="108"/>
      <c r="F19" s="108"/>
      <c r="G19" s="108"/>
      <c r="H19" s="108"/>
    </row>
    <row r="20" spans="1:8" ht="26.25" customHeight="1" x14ac:dyDescent="0.4">
      <c r="A20" s="110" t="s">
        <v>35</v>
      </c>
      <c r="B20" s="111" t="s">
        <v>9</v>
      </c>
      <c r="C20" s="108"/>
      <c r="D20" s="108"/>
      <c r="E20" s="108"/>
      <c r="F20" s="108"/>
      <c r="G20" s="108"/>
      <c r="H20" s="108"/>
    </row>
    <row r="21" spans="1:8" ht="26.25" customHeight="1" x14ac:dyDescent="0.4">
      <c r="A21" s="110" t="s">
        <v>36</v>
      </c>
      <c r="B21" s="247" t="s">
        <v>11</v>
      </c>
      <c r="C21" s="247"/>
      <c r="D21" s="247"/>
      <c r="E21" s="247"/>
      <c r="F21" s="247"/>
      <c r="G21" s="247"/>
      <c r="H21" s="247"/>
    </row>
    <row r="22" spans="1:8" ht="26.25" customHeight="1" x14ac:dyDescent="0.4">
      <c r="A22" s="110" t="s">
        <v>37</v>
      </c>
      <c r="B22" s="112">
        <v>42201.530081018522</v>
      </c>
      <c r="C22" s="108"/>
      <c r="D22" s="108"/>
      <c r="E22" s="108"/>
      <c r="F22" s="108"/>
      <c r="G22" s="108"/>
      <c r="H22" s="108"/>
    </row>
    <row r="23" spans="1:8" ht="26.25" customHeight="1" x14ac:dyDescent="0.4">
      <c r="A23" s="110" t="s">
        <v>38</v>
      </c>
      <c r="B23" s="112" t="s">
        <v>112</v>
      </c>
      <c r="C23" s="108"/>
      <c r="D23" s="108"/>
      <c r="E23" s="108"/>
      <c r="F23" s="108"/>
      <c r="G23" s="108"/>
      <c r="H23" s="108"/>
    </row>
    <row r="24" spans="1:8" ht="18.75" customHeight="1" x14ac:dyDescent="0.3">
      <c r="A24" s="110"/>
      <c r="B24" s="113"/>
      <c r="C24" s="108"/>
      <c r="D24" s="108"/>
      <c r="E24" s="108"/>
      <c r="F24" s="108"/>
      <c r="G24" s="108"/>
      <c r="H24" s="108"/>
    </row>
    <row r="25" spans="1:8" ht="18.75" customHeight="1" x14ac:dyDescent="0.3">
      <c r="A25" s="114" t="s">
        <v>1</v>
      </c>
      <c r="B25" s="113"/>
      <c r="C25" s="108"/>
      <c r="D25" s="108"/>
      <c r="E25" s="108"/>
      <c r="F25" s="108"/>
      <c r="G25" s="108"/>
      <c r="H25" s="108"/>
    </row>
    <row r="26" spans="1:8" ht="26.25" customHeight="1" x14ac:dyDescent="0.4">
      <c r="A26" s="115" t="s">
        <v>4</v>
      </c>
      <c r="B26" s="246" t="s">
        <v>113</v>
      </c>
      <c r="C26" s="246"/>
      <c r="D26" s="108"/>
      <c r="E26" s="108"/>
      <c r="F26" s="108"/>
      <c r="G26" s="108"/>
      <c r="H26" s="108"/>
    </row>
    <row r="27" spans="1:8" ht="26.25" customHeight="1" x14ac:dyDescent="0.4">
      <c r="A27" s="116" t="s">
        <v>52</v>
      </c>
      <c r="B27" s="247" t="s">
        <v>114</v>
      </c>
      <c r="C27" s="247"/>
      <c r="D27" s="108"/>
      <c r="E27" s="108"/>
      <c r="F27" s="108"/>
      <c r="G27" s="108"/>
      <c r="H27" s="108"/>
    </row>
    <row r="28" spans="1:8" ht="27" customHeight="1" x14ac:dyDescent="0.4">
      <c r="A28" s="116" t="s">
        <v>6</v>
      </c>
      <c r="B28" s="117">
        <v>99.33</v>
      </c>
      <c r="C28" s="108"/>
      <c r="D28" s="108"/>
      <c r="E28" s="108"/>
      <c r="F28" s="108"/>
      <c r="G28" s="108"/>
      <c r="H28" s="108"/>
    </row>
    <row r="29" spans="1:8" ht="27" customHeight="1" x14ac:dyDescent="0.4">
      <c r="A29" s="116" t="s">
        <v>53</v>
      </c>
      <c r="B29" s="118"/>
      <c r="C29" s="248" t="s">
        <v>54</v>
      </c>
      <c r="D29" s="249"/>
      <c r="E29" s="249"/>
      <c r="F29" s="249"/>
      <c r="G29" s="249"/>
      <c r="H29" s="250"/>
    </row>
    <row r="30" spans="1:8" ht="19.5" customHeight="1" x14ac:dyDescent="0.3">
      <c r="A30" s="116" t="s">
        <v>55</v>
      </c>
      <c r="B30" s="119">
        <f>B28-B29</f>
        <v>99.33</v>
      </c>
      <c r="C30" s="120"/>
      <c r="D30" s="120"/>
      <c r="E30" s="120"/>
      <c r="F30" s="120"/>
      <c r="G30" s="120"/>
      <c r="H30" s="121"/>
    </row>
    <row r="31" spans="1:8" ht="27" customHeight="1" x14ac:dyDescent="0.4">
      <c r="A31" s="116" t="s">
        <v>56</v>
      </c>
      <c r="B31" s="122">
        <v>1</v>
      </c>
      <c r="C31" s="251" t="s">
        <v>57</v>
      </c>
      <c r="D31" s="252"/>
      <c r="E31" s="252"/>
      <c r="F31" s="252"/>
      <c r="G31" s="252"/>
      <c r="H31" s="253"/>
    </row>
    <row r="32" spans="1:8" ht="27" customHeight="1" x14ac:dyDescent="0.4">
      <c r="A32" s="116" t="s">
        <v>58</v>
      </c>
      <c r="B32" s="122">
        <v>1</v>
      </c>
      <c r="C32" s="251" t="s">
        <v>59</v>
      </c>
      <c r="D32" s="252"/>
      <c r="E32" s="252"/>
      <c r="F32" s="252"/>
      <c r="G32" s="252"/>
      <c r="H32" s="253"/>
    </row>
    <row r="33" spans="1:8" ht="18.75" customHeight="1" x14ac:dyDescent="0.3">
      <c r="A33" s="116"/>
      <c r="B33" s="123"/>
      <c r="C33" s="124"/>
      <c r="D33" s="124"/>
      <c r="E33" s="124"/>
      <c r="F33" s="124"/>
      <c r="G33" s="124"/>
      <c r="H33" s="124"/>
    </row>
    <row r="34" spans="1:8" ht="18.75" customHeight="1" x14ac:dyDescent="0.3">
      <c r="A34" s="116" t="s">
        <v>60</v>
      </c>
      <c r="B34" s="125">
        <f>B31/B32</f>
        <v>1</v>
      </c>
      <c r="C34" s="108" t="s">
        <v>61</v>
      </c>
      <c r="D34" s="108"/>
      <c r="E34" s="108"/>
      <c r="F34" s="108"/>
      <c r="G34" s="108"/>
      <c r="H34" s="126"/>
    </row>
    <row r="35" spans="1:8" ht="19.5" customHeight="1" x14ac:dyDescent="0.3">
      <c r="A35" s="116"/>
      <c r="B35" s="119"/>
      <c r="C35" s="126"/>
      <c r="D35" s="126"/>
      <c r="E35" s="126"/>
      <c r="F35" s="126"/>
      <c r="G35" s="108"/>
      <c r="H35" s="126"/>
    </row>
    <row r="36" spans="1:8" ht="27" customHeight="1" x14ac:dyDescent="0.4">
      <c r="A36" s="127" t="s">
        <v>62</v>
      </c>
      <c r="B36" s="128">
        <v>20</v>
      </c>
      <c r="C36" s="108"/>
      <c r="D36" s="254" t="s">
        <v>63</v>
      </c>
      <c r="E36" s="255"/>
      <c r="F36" s="254" t="s">
        <v>64</v>
      </c>
      <c r="G36" s="256"/>
      <c r="H36" s="126"/>
    </row>
    <row r="37" spans="1:8" ht="26.25" customHeight="1" x14ac:dyDescent="0.4">
      <c r="A37" s="129" t="s">
        <v>65</v>
      </c>
      <c r="B37" s="130">
        <v>2</v>
      </c>
      <c r="C37" s="131" t="s">
        <v>66</v>
      </c>
      <c r="D37" s="132" t="s">
        <v>67</v>
      </c>
      <c r="E37" s="133" t="s">
        <v>68</v>
      </c>
      <c r="F37" s="132" t="s">
        <v>67</v>
      </c>
      <c r="G37" s="134" t="s">
        <v>68</v>
      </c>
      <c r="H37" s="126"/>
    </row>
    <row r="38" spans="1:8" ht="26.25" customHeight="1" x14ac:dyDescent="0.4">
      <c r="A38" s="129" t="s">
        <v>69</v>
      </c>
      <c r="B38" s="130">
        <v>20</v>
      </c>
      <c r="C38" s="135">
        <v>1</v>
      </c>
      <c r="D38" s="136">
        <v>19988841</v>
      </c>
      <c r="E38" s="137">
        <f>IF(ISBLANK(D38),"-",$D$48/$D$45*D38)</f>
        <v>21826105.84189558</v>
      </c>
      <c r="F38" s="136">
        <v>23467360</v>
      </c>
      <c r="G38" s="138">
        <f>IF(ISBLANK(F38),"-",$D$48/$F$45*F38)</f>
        <v>22457843.980525035</v>
      </c>
      <c r="H38" s="126"/>
    </row>
    <row r="39" spans="1:8" ht="26.25" customHeight="1" x14ac:dyDescent="0.4">
      <c r="A39" s="129" t="s">
        <v>70</v>
      </c>
      <c r="B39" s="130">
        <v>1</v>
      </c>
      <c r="C39" s="139">
        <v>2</v>
      </c>
      <c r="D39" s="140">
        <v>20610311</v>
      </c>
      <c r="E39" s="141">
        <f>IF(ISBLANK(D39),"-",$D$48/$D$45*D39)</f>
        <v>22504697.962247271</v>
      </c>
      <c r="F39" s="140">
        <v>22995872</v>
      </c>
      <c r="G39" s="142">
        <f>IF(ISBLANK(F39),"-",$D$48/$F$45*F39)</f>
        <v>22006638.393586844</v>
      </c>
      <c r="H39" s="126"/>
    </row>
    <row r="40" spans="1:8" ht="26.25" customHeight="1" x14ac:dyDescent="0.4">
      <c r="A40" s="129" t="s">
        <v>71</v>
      </c>
      <c r="B40" s="130">
        <v>1</v>
      </c>
      <c r="C40" s="139">
        <v>3</v>
      </c>
      <c r="D40" s="140">
        <v>20384710</v>
      </c>
      <c r="E40" s="141">
        <f>IF(ISBLANK(D40),"-",$D$48/$D$45*D40)</f>
        <v>22258360.953311261</v>
      </c>
      <c r="F40" s="140">
        <v>23023329</v>
      </c>
      <c r="G40" s="142">
        <f>IF(ISBLANK(F40),"-",$D$48/$F$45*F40)</f>
        <v>22032914.251722284</v>
      </c>
      <c r="H40" s="108"/>
    </row>
    <row r="41" spans="1:8" ht="26.25" customHeight="1" x14ac:dyDescent="0.4">
      <c r="A41" s="129" t="s">
        <v>72</v>
      </c>
      <c r="B41" s="130">
        <v>1</v>
      </c>
      <c r="C41" s="143">
        <v>4</v>
      </c>
      <c r="D41" s="144"/>
      <c r="E41" s="145" t="str">
        <f>IF(ISBLANK(D41),"-",$D$48/$D$45*D41)</f>
        <v>-</v>
      </c>
      <c r="F41" s="144"/>
      <c r="G41" s="146" t="str">
        <f>IF(ISBLANK(F41),"-",$D$48/$F$45*F41)</f>
        <v>-</v>
      </c>
      <c r="H41" s="108"/>
    </row>
    <row r="42" spans="1:8" ht="27" customHeight="1" x14ac:dyDescent="0.4">
      <c r="A42" s="129" t="s">
        <v>73</v>
      </c>
      <c r="B42" s="130">
        <v>1</v>
      </c>
      <c r="C42" s="147" t="s">
        <v>74</v>
      </c>
      <c r="D42" s="148">
        <f>AVERAGE(D38:D41)</f>
        <v>20327954</v>
      </c>
      <c r="E42" s="149">
        <f>AVERAGE(E38:E41)</f>
        <v>22196388.252484705</v>
      </c>
      <c r="F42" s="148">
        <f>AVERAGE(F38:F41)</f>
        <v>23162187</v>
      </c>
      <c r="G42" s="150">
        <f>AVERAGE(G38:G41)</f>
        <v>22165798.875278052</v>
      </c>
      <c r="H42" s="151"/>
    </row>
    <row r="43" spans="1:8" ht="26.25" customHeight="1" x14ac:dyDescent="0.4">
      <c r="A43" s="129" t="s">
        <v>75</v>
      </c>
      <c r="B43" s="130">
        <v>1</v>
      </c>
      <c r="C43" s="152" t="s">
        <v>76</v>
      </c>
      <c r="D43" s="153">
        <v>18.440000000000001</v>
      </c>
      <c r="E43" s="154"/>
      <c r="F43" s="153">
        <v>21.04</v>
      </c>
      <c r="G43" s="108"/>
      <c r="H43" s="151"/>
    </row>
    <row r="44" spans="1:8" ht="26.25" customHeight="1" x14ac:dyDescent="0.4">
      <c r="A44" s="129" t="s">
        <v>77</v>
      </c>
      <c r="B44" s="130">
        <v>1</v>
      </c>
      <c r="C44" s="155" t="s">
        <v>78</v>
      </c>
      <c r="D44" s="156">
        <f>D43*$B$34</f>
        <v>18.440000000000001</v>
      </c>
      <c r="E44" s="157"/>
      <c r="F44" s="156">
        <f>F43*$B$34</f>
        <v>21.04</v>
      </c>
      <c r="G44" s="108"/>
      <c r="H44" s="151"/>
    </row>
    <row r="45" spans="1:8" ht="19.5" customHeight="1" x14ac:dyDescent="0.3">
      <c r="A45" s="129" t="s">
        <v>79</v>
      </c>
      <c r="B45" s="158">
        <f>(B44/B43)*(B42/B41)*(B40/B39)*(B38/B37)*B36</f>
        <v>200</v>
      </c>
      <c r="C45" s="155" t="s">
        <v>80</v>
      </c>
      <c r="D45" s="159">
        <f>D44*$B$30/100</f>
        <v>18.316452000000002</v>
      </c>
      <c r="E45" s="160"/>
      <c r="F45" s="159">
        <f>F44*$B$30/100</f>
        <v>20.899031999999998</v>
      </c>
      <c r="G45" s="108"/>
      <c r="H45" s="151"/>
    </row>
    <row r="46" spans="1:8" ht="19.5" customHeight="1" x14ac:dyDescent="0.3">
      <c r="A46" s="257" t="s">
        <v>81</v>
      </c>
      <c r="B46" s="258"/>
      <c r="C46" s="155" t="s">
        <v>82</v>
      </c>
      <c r="D46" s="156">
        <f>D45/$B$45</f>
        <v>9.1582260000000013E-2</v>
      </c>
      <c r="E46" s="160"/>
      <c r="F46" s="161">
        <f>F45/$B$45</f>
        <v>0.10449515999999999</v>
      </c>
      <c r="G46" s="108"/>
      <c r="H46" s="151"/>
    </row>
    <row r="47" spans="1:8" ht="27" customHeight="1" x14ac:dyDescent="0.4">
      <c r="A47" s="259"/>
      <c r="B47" s="260"/>
      <c r="C47" s="162" t="s">
        <v>83</v>
      </c>
      <c r="D47" s="163">
        <v>0.1</v>
      </c>
      <c r="E47" s="108"/>
      <c r="F47" s="164"/>
      <c r="G47" s="108"/>
      <c r="H47" s="151"/>
    </row>
    <row r="48" spans="1:8" ht="18.75" customHeight="1" x14ac:dyDescent="0.3">
      <c r="A48" s="108"/>
      <c r="B48" s="108"/>
      <c r="C48" s="165" t="s">
        <v>84</v>
      </c>
      <c r="D48" s="156">
        <f>D47*$B$45</f>
        <v>20</v>
      </c>
      <c r="E48" s="108"/>
      <c r="F48" s="164"/>
      <c r="G48" s="108"/>
      <c r="H48" s="151"/>
    </row>
    <row r="49" spans="1:8" ht="19.5" customHeight="1" x14ac:dyDescent="0.3">
      <c r="A49" s="108"/>
      <c r="B49" s="108"/>
      <c r="C49" s="166" t="s">
        <v>85</v>
      </c>
      <c r="D49" s="167">
        <f>D48/B34</f>
        <v>20</v>
      </c>
      <c r="E49" s="108"/>
      <c r="F49" s="164"/>
      <c r="G49" s="108"/>
      <c r="H49" s="151"/>
    </row>
    <row r="50" spans="1:8" ht="18.75" customHeight="1" x14ac:dyDescent="0.3">
      <c r="A50" s="108"/>
      <c r="B50" s="108"/>
      <c r="C50" s="127" t="s">
        <v>86</v>
      </c>
      <c r="D50" s="168">
        <f>AVERAGE(E38:E41,G38:G41)</f>
        <v>22181093.563881379</v>
      </c>
      <c r="E50" s="108"/>
      <c r="F50" s="169"/>
      <c r="G50" s="108"/>
      <c r="H50" s="151"/>
    </row>
    <row r="51" spans="1:8" ht="18.75" customHeight="1" x14ac:dyDescent="0.3">
      <c r="A51" s="108"/>
      <c r="B51" s="108"/>
      <c r="C51" s="162" t="s">
        <v>87</v>
      </c>
      <c r="D51" s="170">
        <f>STDEV(E38:E41,G38:G41)/D50</f>
        <v>1.2192363486106618E-2</v>
      </c>
      <c r="E51" s="108"/>
      <c r="F51" s="169"/>
      <c r="G51" s="108"/>
      <c r="H51" s="151"/>
    </row>
    <row r="52" spans="1:8" ht="19.5" customHeight="1" x14ac:dyDescent="0.3">
      <c r="A52" s="108"/>
      <c r="B52" s="108"/>
      <c r="C52" s="171" t="s">
        <v>20</v>
      </c>
      <c r="D52" s="172">
        <f>COUNT(E38:E41,G38:G41)</f>
        <v>6</v>
      </c>
      <c r="E52" s="108"/>
      <c r="F52" s="169"/>
      <c r="G52" s="108"/>
      <c r="H52" s="108"/>
    </row>
    <row r="53" spans="1:8" ht="18.75" customHeight="1" x14ac:dyDescent="0.3">
      <c r="A53" s="108"/>
      <c r="B53" s="108"/>
      <c r="C53" s="108"/>
      <c r="D53" s="108"/>
      <c r="E53" s="108"/>
      <c r="F53" s="108"/>
      <c r="G53" s="108"/>
      <c r="H53" s="108"/>
    </row>
    <row r="54" spans="1:8" ht="18.75" customHeight="1" x14ac:dyDescent="0.3">
      <c r="A54" s="109" t="s">
        <v>1</v>
      </c>
      <c r="B54" s="173" t="s">
        <v>88</v>
      </c>
      <c r="C54" s="108"/>
      <c r="D54" s="108"/>
      <c r="E54" s="108"/>
      <c r="F54" s="108"/>
      <c r="G54" s="108"/>
      <c r="H54" s="108"/>
    </row>
    <row r="55" spans="1:8" ht="18.75" customHeight="1" x14ac:dyDescent="0.3">
      <c r="A55" s="108" t="s">
        <v>89</v>
      </c>
      <c r="B55" s="174" t="str">
        <f>B21</f>
        <v>Each vials contains Amphotericin 50mg</v>
      </c>
      <c r="C55" s="108"/>
      <c r="D55" s="108"/>
      <c r="E55" s="108"/>
      <c r="F55" s="108"/>
      <c r="G55" s="108"/>
      <c r="H55" s="108"/>
    </row>
    <row r="56" spans="1:8" ht="26.25" customHeight="1" x14ac:dyDescent="0.4">
      <c r="A56" s="175" t="s">
        <v>90</v>
      </c>
      <c r="B56" s="176">
        <v>50</v>
      </c>
      <c r="C56" s="108" t="str">
        <f>B20</f>
        <v>Amphotericin 50mg</v>
      </c>
      <c r="D56" s="108"/>
      <c r="E56" s="108"/>
      <c r="F56" s="108"/>
      <c r="G56" s="108"/>
      <c r="H56" s="177"/>
    </row>
    <row r="57" spans="1:8" ht="18.75" customHeight="1" x14ac:dyDescent="0.3">
      <c r="A57" s="174" t="s">
        <v>91</v>
      </c>
      <c r="B57" s="225">
        <f>106.4</f>
        <v>106.4</v>
      </c>
      <c r="C57" s="108"/>
      <c r="D57" s="108"/>
      <c r="E57" s="108"/>
      <c r="F57" s="108"/>
      <c r="G57" s="108"/>
      <c r="H57" s="177"/>
    </row>
    <row r="58" spans="1:8" ht="19.5" customHeight="1" x14ac:dyDescent="0.3">
      <c r="A58" s="108"/>
      <c r="B58" s="108"/>
      <c r="C58" s="108"/>
      <c r="D58" s="108"/>
      <c r="E58" s="108"/>
      <c r="F58" s="108"/>
      <c r="G58" s="108"/>
      <c r="H58" s="177"/>
    </row>
    <row r="59" spans="1:8" ht="27" customHeight="1" x14ac:dyDescent="0.4">
      <c r="A59" s="127" t="s">
        <v>92</v>
      </c>
      <c r="B59" s="128">
        <v>50</v>
      </c>
      <c r="C59" s="108"/>
      <c r="D59" s="178" t="s">
        <v>93</v>
      </c>
      <c r="E59" s="179" t="s">
        <v>66</v>
      </c>
      <c r="F59" s="179" t="s">
        <v>67</v>
      </c>
      <c r="G59" s="179" t="s">
        <v>94</v>
      </c>
      <c r="H59" s="131" t="s">
        <v>95</v>
      </c>
    </row>
    <row r="60" spans="1:8" ht="26.25" customHeight="1" x14ac:dyDescent="0.4">
      <c r="A60" s="129" t="s">
        <v>96</v>
      </c>
      <c r="B60" s="130">
        <v>5</v>
      </c>
      <c r="C60" s="237" t="s">
        <v>97</v>
      </c>
      <c r="D60" s="240">
        <v>105.88</v>
      </c>
      <c r="E60" s="180">
        <v>1</v>
      </c>
      <c r="F60" s="181">
        <v>25267013</v>
      </c>
      <c r="G60" s="182">
        <f>IF(ISBLANK(F60),"-",(F60/$D$50*$D$47*$B$68)*($B$57/$D$60))</f>
        <v>57.235917590716895</v>
      </c>
      <c r="H60" s="183">
        <f t="shared" ref="H60:H71" si="0">IF(ISBLANK(F60),"-",G60/$B$56)</f>
        <v>1.1447183518143378</v>
      </c>
    </row>
    <row r="61" spans="1:8" ht="26.25" customHeight="1" x14ac:dyDescent="0.4">
      <c r="A61" s="129" t="s">
        <v>98</v>
      </c>
      <c r="B61" s="130">
        <v>50</v>
      </c>
      <c r="C61" s="238"/>
      <c r="D61" s="241"/>
      <c r="E61" s="184">
        <v>2</v>
      </c>
      <c r="F61" s="140">
        <v>24508436</v>
      </c>
      <c r="G61" s="185">
        <f>IF(ISBLANK(F61),"-",(F61/$D$50*$D$47*$B$68)*($B$57/$D$60))</f>
        <v>55.517556553810273</v>
      </c>
      <c r="H61" s="186">
        <f t="shared" si="0"/>
        <v>1.1103511310762055</v>
      </c>
    </row>
    <row r="62" spans="1:8" ht="26.25" customHeight="1" x14ac:dyDescent="0.4">
      <c r="A62" s="129" t="s">
        <v>99</v>
      </c>
      <c r="B62" s="130">
        <v>1</v>
      </c>
      <c r="C62" s="238"/>
      <c r="D62" s="241"/>
      <c r="E62" s="184">
        <v>3</v>
      </c>
      <c r="F62" s="140">
        <v>25438167</v>
      </c>
      <c r="G62" s="185">
        <f>IF(ISBLANK(F62),"-",(F62/$D$50*$D$47*$B$68)*($B$57/$D$60))</f>
        <v>57.623622945493956</v>
      </c>
      <c r="H62" s="186">
        <f t="shared" si="0"/>
        <v>1.1524724589098791</v>
      </c>
    </row>
    <row r="63" spans="1:8" ht="27" customHeight="1" x14ac:dyDescent="0.4">
      <c r="A63" s="129" t="s">
        <v>100</v>
      </c>
      <c r="B63" s="130">
        <v>1</v>
      </c>
      <c r="C63" s="239"/>
      <c r="D63" s="242"/>
      <c r="E63" s="187">
        <v>4</v>
      </c>
      <c r="F63" s="188"/>
      <c r="G63" s="185" t="str">
        <f>IF(ISBLANK(F63),"-",(F63/$D$50*$D$47*$B$68)*($B$57/$D$60))</f>
        <v>-</v>
      </c>
      <c r="H63" s="186" t="str">
        <f t="shared" si="0"/>
        <v>-</v>
      </c>
    </row>
    <row r="64" spans="1:8" ht="26.25" customHeight="1" x14ac:dyDescent="0.4">
      <c r="A64" s="129" t="s">
        <v>101</v>
      </c>
      <c r="B64" s="130">
        <v>1</v>
      </c>
      <c r="C64" s="237" t="s">
        <v>102</v>
      </c>
      <c r="D64" s="240">
        <v>106.4</v>
      </c>
      <c r="E64" s="180">
        <v>1</v>
      </c>
      <c r="F64" s="181">
        <v>25474747</v>
      </c>
      <c r="G64" s="189">
        <f>IF(ISBLANK(F64),"-",(F64/$D$50*$D$47*$B$68)*($B$57/$D$64))</f>
        <v>57.424461347302206</v>
      </c>
      <c r="H64" s="190">
        <f t="shared" si="0"/>
        <v>1.1484892269460441</v>
      </c>
    </row>
    <row r="65" spans="1:8" ht="26.25" customHeight="1" x14ac:dyDescent="0.4">
      <c r="A65" s="129" t="s">
        <v>103</v>
      </c>
      <c r="B65" s="130">
        <v>1</v>
      </c>
      <c r="C65" s="238"/>
      <c r="D65" s="241"/>
      <c r="E65" s="184">
        <v>2</v>
      </c>
      <c r="F65" s="140">
        <v>25376946</v>
      </c>
      <c r="G65" s="191">
        <f>IF(ISBLANK(F65),"-",(F65/$D$50*$D$47*$B$68)*($B$57/$D$64))</f>
        <v>57.204001071711346</v>
      </c>
      <c r="H65" s="192">
        <f t="shared" si="0"/>
        <v>1.1440800214342268</v>
      </c>
    </row>
    <row r="66" spans="1:8" ht="26.25" customHeight="1" x14ac:dyDescent="0.4">
      <c r="A66" s="129" t="s">
        <v>104</v>
      </c>
      <c r="B66" s="130">
        <v>1</v>
      </c>
      <c r="C66" s="238"/>
      <c r="D66" s="241"/>
      <c r="E66" s="184">
        <v>3</v>
      </c>
      <c r="F66" s="140">
        <v>25084940</v>
      </c>
      <c r="G66" s="191">
        <f>IF(ISBLANK(F66),"-",(F66/$D$50*$D$47*$B$68)*($B$57/$D$64))</f>
        <v>56.545769323220178</v>
      </c>
      <c r="H66" s="192">
        <f t="shared" si="0"/>
        <v>1.1309153864644035</v>
      </c>
    </row>
    <row r="67" spans="1:8" ht="27" customHeight="1" x14ac:dyDescent="0.4">
      <c r="A67" s="129" t="s">
        <v>105</v>
      </c>
      <c r="B67" s="130">
        <v>1</v>
      </c>
      <c r="C67" s="239"/>
      <c r="D67" s="242"/>
      <c r="E67" s="187">
        <v>4</v>
      </c>
      <c r="F67" s="188"/>
      <c r="G67" s="193" t="str">
        <f>IF(ISBLANK(F67),"-",(F67/$D$50*$D$47*$B$68)*($B$57/$D$64))</f>
        <v>-</v>
      </c>
      <c r="H67" s="194" t="str">
        <f t="shared" si="0"/>
        <v>-</v>
      </c>
    </row>
    <row r="68" spans="1:8" ht="26.25" customHeight="1" x14ac:dyDescent="0.4">
      <c r="A68" s="129" t="s">
        <v>106</v>
      </c>
      <c r="B68" s="195">
        <f>(B67/B66)*(B65/B64)*(B63/B62)*(B61/B60)*B59</f>
        <v>500</v>
      </c>
      <c r="C68" s="237" t="s">
        <v>107</v>
      </c>
      <c r="D68" s="240">
        <v>109.7</v>
      </c>
      <c r="E68" s="180">
        <v>1</v>
      </c>
      <c r="F68" s="181">
        <v>26155518</v>
      </c>
      <c r="G68" s="189">
        <f>IF(ISBLANK(F68),"-",(F68/$D$50*$D$47*$B$68)*($B$57/$D$68))</f>
        <v>57.185428071197059</v>
      </c>
      <c r="H68" s="186">
        <f t="shared" si="0"/>
        <v>1.1437085614239413</v>
      </c>
    </row>
    <row r="69" spans="1:8" ht="27" customHeight="1" x14ac:dyDescent="0.4">
      <c r="A69" s="171" t="s">
        <v>108</v>
      </c>
      <c r="B69" s="196">
        <f>(D47*B68)/B56*B57</f>
        <v>106.4</v>
      </c>
      <c r="C69" s="238"/>
      <c r="D69" s="241"/>
      <c r="E69" s="184">
        <v>2</v>
      </c>
      <c r="F69" s="140">
        <v>26480211</v>
      </c>
      <c r="G69" s="191">
        <f>IF(ISBLANK(F69),"-",(F69/$D$50*$D$47*$B$68)*($B$57/$D$68))</f>
        <v>57.895324476105621</v>
      </c>
      <c r="H69" s="186">
        <f t="shared" si="0"/>
        <v>1.1579064895221125</v>
      </c>
    </row>
    <row r="70" spans="1:8" ht="26.25" customHeight="1" x14ac:dyDescent="0.4">
      <c r="A70" s="257" t="s">
        <v>81</v>
      </c>
      <c r="B70" s="258"/>
      <c r="C70" s="238"/>
      <c r="D70" s="241"/>
      <c r="E70" s="184">
        <v>3</v>
      </c>
      <c r="F70" s="140">
        <v>25719344</v>
      </c>
      <c r="G70" s="191">
        <f>IF(ISBLANK(F70),"-",(F70/$D$50*$D$47*$B$68)*($B$57/$D$68))</f>
        <v>56.231793855138861</v>
      </c>
      <c r="H70" s="186">
        <f t="shared" si="0"/>
        <v>1.1246358771027771</v>
      </c>
    </row>
    <row r="71" spans="1:8" ht="27" customHeight="1" x14ac:dyDescent="0.4">
      <c r="A71" s="259"/>
      <c r="B71" s="260"/>
      <c r="C71" s="262"/>
      <c r="D71" s="242"/>
      <c r="E71" s="187">
        <v>4</v>
      </c>
      <c r="F71" s="188"/>
      <c r="G71" s="193" t="str">
        <f>IF(ISBLANK(F71),"-",(F71/$D$50*$D$47*$B$68)*($B$57/$D$68))</f>
        <v>-</v>
      </c>
      <c r="H71" s="197" t="str">
        <f t="shared" si="0"/>
        <v>-</v>
      </c>
    </row>
    <row r="72" spans="1:8" ht="26.25" customHeight="1" x14ac:dyDescent="0.4">
      <c r="A72" s="198"/>
      <c r="B72" s="198"/>
      <c r="C72" s="198"/>
      <c r="D72" s="198"/>
      <c r="E72" s="198"/>
      <c r="F72" s="199"/>
      <c r="G72" s="200" t="s">
        <v>74</v>
      </c>
      <c r="H72" s="201">
        <f>AVERAGE(H60:H71)</f>
        <v>1.1396975005215475</v>
      </c>
    </row>
    <row r="73" spans="1:8" ht="26.25" customHeight="1" x14ac:dyDescent="0.4">
      <c r="A73" s="108"/>
      <c r="B73" s="108"/>
      <c r="C73" s="198"/>
      <c r="D73" s="198"/>
      <c r="E73" s="198"/>
      <c r="F73" s="199"/>
      <c r="G73" s="202" t="s">
        <v>87</v>
      </c>
      <c r="H73" s="203">
        <f>STDEV(H60:H71)/H72</f>
        <v>1.3153168808868678E-2</v>
      </c>
    </row>
    <row r="74" spans="1:8" ht="27" customHeight="1" x14ac:dyDescent="0.4">
      <c r="A74" s="198"/>
      <c r="B74" s="198"/>
      <c r="C74" s="199"/>
      <c r="D74" s="199"/>
      <c r="E74" s="204"/>
      <c r="F74" s="199"/>
      <c r="G74" s="205" t="s">
        <v>20</v>
      </c>
      <c r="H74" s="206">
        <f>COUNT(H60:H71)</f>
        <v>9</v>
      </c>
    </row>
    <row r="75" spans="1:8" ht="18.75" customHeight="1" x14ac:dyDescent="0.3">
      <c r="A75" s="207"/>
      <c r="B75" s="207"/>
      <c r="C75" s="157"/>
      <c r="D75" s="157"/>
      <c r="E75" s="160"/>
      <c r="F75" s="157"/>
      <c r="G75" s="208"/>
      <c r="H75" s="209"/>
    </row>
    <row r="76" spans="1:8" ht="26.25" customHeight="1" x14ac:dyDescent="0.4">
      <c r="A76" s="115" t="s">
        <v>109</v>
      </c>
      <c r="B76" s="210" t="s">
        <v>110</v>
      </c>
      <c r="C76" s="263" t="str">
        <f>B20</f>
        <v>Amphotericin 50mg</v>
      </c>
      <c r="D76" s="263"/>
      <c r="E76" s="211" t="s">
        <v>111</v>
      </c>
      <c r="F76" s="211"/>
      <c r="G76" s="212">
        <f>H72</f>
        <v>1.1396975005215475</v>
      </c>
      <c r="H76" s="209"/>
    </row>
    <row r="77" spans="1:8" ht="19.5" customHeight="1" x14ac:dyDescent="0.3">
      <c r="A77" s="213"/>
      <c r="B77" s="213"/>
      <c r="C77" s="214"/>
      <c r="D77" s="214"/>
      <c r="E77" s="214"/>
      <c r="F77" s="214"/>
      <c r="G77" s="214"/>
      <c r="H77" s="214"/>
    </row>
    <row r="78" spans="1:8" ht="18.75" customHeight="1" x14ac:dyDescent="0.3">
      <c r="A78" s="108"/>
      <c r="B78" s="261" t="s">
        <v>26</v>
      </c>
      <c r="C78" s="261"/>
      <c r="D78" s="108"/>
      <c r="E78" s="215" t="s">
        <v>27</v>
      </c>
      <c r="F78" s="216"/>
      <c r="G78" s="261" t="s">
        <v>28</v>
      </c>
      <c r="H78" s="261"/>
    </row>
    <row r="79" spans="1:8" ht="60" customHeight="1" x14ac:dyDescent="0.3">
      <c r="A79" s="217" t="s">
        <v>29</v>
      </c>
      <c r="B79" s="218" t="s">
        <v>115</v>
      </c>
      <c r="C79" s="218"/>
      <c r="D79" s="108"/>
      <c r="E79" s="219" t="s">
        <v>112</v>
      </c>
      <c r="F79" s="220"/>
      <c r="G79" s="221"/>
      <c r="H79" s="221"/>
    </row>
    <row r="80" spans="1:8" ht="60" customHeight="1" x14ac:dyDescent="0.3">
      <c r="A80" s="217" t="s">
        <v>30</v>
      </c>
      <c r="B80" s="222"/>
      <c r="C80" s="222"/>
      <c r="D80" s="108"/>
      <c r="E80" s="223"/>
      <c r="F80" s="220"/>
      <c r="G80" s="224"/>
      <c r="H80" s="224"/>
    </row>
    <row r="250" spans="1:1" x14ac:dyDescent="0.2">
      <c r="A250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Amphotericin B</vt:lpstr>
      <vt:lpstr>'Amphotericin B'!Print_Area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HPLC-M</cp:lastModifiedBy>
  <cp:lastPrinted>2015-07-17T11:14:52Z</cp:lastPrinted>
  <dcterms:created xsi:type="dcterms:W3CDTF">2005-07-05T10:19:27Z</dcterms:created>
  <dcterms:modified xsi:type="dcterms:W3CDTF">2015-07-17T11:37:40Z</dcterms:modified>
</cp:coreProperties>
</file>