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 (2)" sheetId="8" r:id="rId1"/>
    <sheet name="Trimethoprim" sheetId="2" r:id="rId2"/>
    <sheet name="SST" sheetId="1" r:id="rId3"/>
    <sheet name="Sulphamethoxazole" sheetId="3" r:id="rId4"/>
    <sheet name="Uniformity" sheetId="4" r:id="rId5"/>
    <sheet name="Sheet3" sheetId="9" r:id="rId6"/>
  </sheets>
  <definedNames>
    <definedName name="_xlnm.Print_Area" localSheetId="4">Uniformity!$A$1:$F$54</definedName>
  </definedNames>
  <calcPr calcId="145621"/>
</workbook>
</file>

<file path=xl/calcChain.xml><?xml version="1.0" encoding="utf-8"?>
<calcChain xmlns="http://schemas.openxmlformats.org/spreadsheetml/2006/main">
  <c r="F113" i="2" l="1"/>
  <c r="G120" i="3"/>
  <c r="F113" i="3"/>
  <c r="F111" i="3"/>
  <c r="F109" i="3"/>
  <c r="E108" i="3"/>
  <c r="G91" i="3"/>
  <c r="E91" i="3"/>
  <c r="B87" i="3"/>
  <c r="F112" i="2"/>
  <c r="F110" i="2"/>
  <c r="F108" i="2"/>
  <c r="G76" i="3"/>
  <c r="G60" i="3"/>
  <c r="B68" i="3"/>
  <c r="B57" i="3"/>
  <c r="B45" i="3"/>
  <c r="G38" i="3"/>
  <c r="E38" i="3"/>
  <c r="B34" i="3"/>
  <c r="B30" i="3"/>
  <c r="G64" i="2"/>
  <c r="G60" i="2"/>
  <c r="B68" i="2"/>
  <c r="G38" i="2"/>
  <c r="E38" i="2"/>
  <c r="K29" i="9"/>
  <c r="B57" i="2"/>
  <c r="B34" i="2"/>
  <c r="B30" i="2"/>
  <c r="B45" i="2"/>
  <c r="B21" i="8"/>
  <c r="B21" i="1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D49" i="4"/>
  <c r="C46" i="4"/>
  <c r="C45" i="4"/>
  <c r="D41" i="4"/>
  <c r="D40" i="4"/>
  <c r="D37" i="4"/>
  <c r="D36" i="4"/>
  <c r="D33" i="4"/>
  <c r="D32" i="4"/>
  <c r="D29" i="4"/>
  <c r="D28" i="4"/>
  <c r="D25" i="4"/>
  <c r="D24" i="4"/>
  <c r="C19" i="4"/>
  <c r="C120" i="3"/>
  <c r="B116" i="3"/>
  <c r="D100" i="3" s="1"/>
  <c r="B98" i="3"/>
  <c r="F95" i="3"/>
  <c r="D95" i="3"/>
  <c r="F97" i="3"/>
  <c r="B81" i="3"/>
  <c r="B83" i="3" s="1"/>
  <c r="B80" i="3"/>
  <c r="B79" i="3"/>
  <c r="C76" i="3"/>
  <c r="B69" i="3"/>
  <c r="C56" i="3"/>
  <c r="B55" i="3"/>
  <c r="D48" i="3"/>
  <c r="F42" i="3"/>
  <c r="D42" i="3"/>
  <c r="F44" i="3"/>
  <c r="F45" i="3" s="1"/>
  <c r="F46" i="3" s="1"/>
  <c r="C120" i="2"/>
  <c r="B116" i="2"/>
  <c r="D100" i="2" s="1"/>
  <c r="B98" i="2"/>
  <c r="F95" i="2"/>
  <c r="D95" i="2"/>
  <c r="B87" i="2"/>
  <c r="D97" i="2" s="1"/>
  <c r="B81" i="2"/>
  <c r="B83" i="2" s="1"/>
  <c r="B80" i="2"/>
  <c r="B79" i="2"/>
  <c r="C76" i="2"/>
  <c r="B69" i="2"/>
  <c r="C56" i="2"/>
  <c r="B55" i="2"/>
  <c r="D48" i="2"/>
  <c r="F42" i="2"/>
  <c r="D42" i="2"/>
  <c r="F44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F98" i="3"/>
  <c r="D97" i="3"/>
  <c r="D98" i="3" s="1"/>
  <c r="F97" i="2"/>
  <c r="D101" i="2"/>
  <c r="I92" i="2"/>
  <c r="I39" i="3"/>
  <c r="F45" i="2"/>
  <c r="G40" i="2" s="1"/>
  <c r="F46" i="2"/>
  <c r="I39" i="2"/>
  <c r="D49" i="2"/>
  <c r="G41" i="2"/>
  <c r="G39" i="2"/>
  <c r="F99" i="3"/>
  <c r="G40" i="3"/>
  <c r="D49" i="3"/>
  <c r="G39" i="3"/>
  <c r="D44" i="2"/>
  <c r="D45" i="2" s="1"/>
  <c r="D46" i="2" s="1"/>
  <c r="D98" i="2"/>
  <c r="F98" i="2"/>
  <c r="D27" i="4"/>
  <c r="D31" i="4"/>
  <c r="D35" i="4"/>
  <c r="D39" i="4"/>
  <c r="D43" i="4"/>
  <c r="C49" i="4"/>
  <c r="D44" i="3"/>
  <c r="D45" i="3" s="1"/>
  <c r="E40" i="3" s="1"/>
  <c r="D102" i="3"/>
  <c r="C50" i="4"/>
  <c r="D26" i="4"/>
  <c r="D30" i="4"/>
  <c r="D34" i="4"/>
  <c r="D38" i="4"/>
  <c r="D42" i="4"/>
  <c r="B49" i="4"/>
  <c r="D50" i="4"/>
  <c r="G93" i="3" l="1"/>
  <c r="E94" i="3"/>
  <c r="E92" i="3"/>
  <c r="D99" i="3"/>
  <c r="G92" i="3"/>
  <c r="G94" i="3"/>
  <c r="D102" i="2"/>
  <c r="E91" i="2"/>
  <c r="G91" i="2"/>
  <c r="G94" i="2"/>
  <c r="E92" i="2"/>
  <c r="G42" i="3"/>
  <c r="E39" i="3"/>
  <c r="E93" i="3"/>
  <c r="G42" i="2"/>
  <c r="D46" i="3"/>
  <c r="E39" i="2"/>
  <c r="F99" i="2"/>
  <c r="G93" i="2"/>
  <c r="D99" i="2"/>
  <c r="E94" i="2"/>
  <c r="G92" i="2"/>
  <c r="E93" i="2"/>
  <c r="E40" i="2"/>
  <c r="E41" i="2"/>
  <c r="G95" i="3" l="1"/>
  <c r="D103" i="3"/>
  <c r="F108" i="3" s="1"/>
  <c r="E95" i="3"/>
  <c r="D105" i="3"/>
  <c r="E42" i="2"/>
  <c r="G95" i="2"/>
  <c r="D52" i="2"/>
  <c r="D50" i="2"/>
  <c r="G67" i="2" s="1"/>
  <c r="H67" i="2" s="1"/>
  <c r="D50" i="3"/>
  <c r="E42" i="3"/>
  <c r="D52" i="3"/>
  <c r="D103" i="2"/>
  <c r="E108" i="2" s="1"/>
  <c r="D105" i="2"/>
  <c r="E95" i="2"/>
  <c r="E113" i="3" l="1"/>
  <c r="E110" i="3"/>
  <c r="F110" i="3" s="1"/>
  <c r="E109" i="3"/>
  <c r="E111" i="3"/>
  <c r="E112" i="3"/>
  <c r="F112" i="3" s="1"/>
  <c r="D104" i="3"/>
  <c r="G61" i="2"/>
  <c r="H61" i="2" s="1"/>
  <c r="G66" i="2"/>
  <c r="H66" i="2" s="1"/>
  <c r="G70" i="2"/>
  <c r="H70" i="2" s="1"/>
  <c r="D51" i="2"/>
  <c r="G69" i="2"/>
  <c r="H69" i="2" s="1"/>
  <c r="G63" i="2"/>
  <c r="H63" i="2" s="1"/>
  <c r="H64" i="2"/>
  <c r="H60" i="2"/>
  <c r="G71" i="2"/>
  <c r="H71" i="2" s="1"/>
  <c r="G65" i="2"/>
  <c r="H65" i="2" s="1"/>
  <c r="G62" i="2"/>
  <c r="H62" i="2" s="1"/>
  <c r="G68" i="2"/>
  <c r="H68" i="2" s="1"/>
  <c r="G70" i="3"/>
  <c r="H70" i="3" s="1"/>
  <c r="G67" i="3"/>
  <c r="H67" i="3" s="1"/>
  <c r="G65" i="3"/>
  <c r="H65" i="3" s="1"/>
  <c r="G63" i="3"/>
  <c r="H63" i="3" s="1"/>
  <c r="G61" i="3"/>
  <c r="H61" i="3" s="1"/>
  <c r="G71" i="3"/>
  <c r="H71" i="3" s="1"/>
  <c r="G69" i="3"/>
  <c r="H69" i="3" s="1"/>
  <c r="G66" i="3"/>
  <c r="H66" i="3" s="1"/>
  <c r="G64" i="3"/>
  <c r="H64" i="3" s="1"/>
  <c r="G62" i="3"/>
  <c r="H62" i="3" s="1"/>
  <c r="H60" i="3"/>
  <c r="D51" i="3"/>
  <c r="G68" i="3"/>
  <c r="H68" i="3" s="1"/>
  <c r="E113" i="2"/>
  <c r="E111" i="2"/>
  <c r="F111" i="2" s="1"/>
  <c r="E109" i="2"/>
  <c r="F109" i="2" s="1"/>
  <c r="D104" i="2"/>
  <c r="E112" i="2"/>
  <c r="E110" i="2"/>
  <c r="F117" i="3" l="1"/>
  <c r="F115" i="3"/>
  <c r="H72" i="2"/>
  <c r="G76" i="2" s="1"/>
  <c r="H74" i="2"/>
  <c r="H72" i="3"/>
  <c r="H74" i="3"/>
  <c r="H73" i="2"/>
  <c r="F117" i="2"/>
  <c r="F115" i="2"/>
  <c r="G120" i="2" s="1"/>
  <c r="F116" i="3" l="1"/>
  <c r="H73" i="3"/>
  <c r="F116" i="2"/>
</calcChain>
</file>

<file path=xl/sharedStrings.xml><?xml version="1.0" encoding="utf-8"?>
<sst xmlns="http://schemas.openxmlformats.org/spreadsheetml/2006/main" count="441" uniqueCount="133">
  <si>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</si>
  <si>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</si>
  <si>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</si>
  <si>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</si>
  <si>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</si>
  <si>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</si>
  <si>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</si>
  <si>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NDQD201507007</t>
  </si>
  <si>
    <t>Weight (mg):</t>
  </si>
  <si>
    <t>each tablets contains sulphamethoxazole 800mg Trimethoprim 160mg.</t>
  </si>
  <si>
    <t>Standard Conc (mg/mL):</t>
  </si>
  <si>
    <t>Sulphamethoxazole 800mg Trimethoprim 160 per tablets</t>
  </si>
  <si>
    <t>2015-07-06 12:26:01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</si>
  <si>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</si>
  <si>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</si>
  <si>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</si>
  <si>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</si>
  <si>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</si>
  <si>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</si>
  <si>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</si>
  <si>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</si>
  <si>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</si>
  <si>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</si>
  <si>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</si>
  <si>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</si>
  <si>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</si>
  <si>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</si>
  <si>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</si>
  <si>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</si>
  <si>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</si>
  <si>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</si>
  <si>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</si>
  <si>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</si>
  <si>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</si>
  <si>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</si>
  <si>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</si>
  <si>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</si>
  <si>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</si>
  <si>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</si>
  <si>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</si>
  <si>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</si>
  <si>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</si>
  <si>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</si>
  <si>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</si>
  <si>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</si>
  <si>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</si>
  <si>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</si>
  <si>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</si>
  <si>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</si>
  <si>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</si>
  <si>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</si>
  <si>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</si>
  <si>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</si>
  <si>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</si>
  <si>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</si>
  <si>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</si>
  <si>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</si>
  <si>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</si>
  <si>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</si>
  <si>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</si>
  <si>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</si>
  <si>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</si>
  <si>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</si>
  <si>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</si>
  <si>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</si>
  <si>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</si>
  <si>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</si>
  <si>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</si>
  <si>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</si>
  <si>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</si>
  <si>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</si>
  <si>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</si>
  <si>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</si>
  <si>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</si>
  <si>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</si>
  <si>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</si>
  <si>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</si>
  <si>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</si>
  <si>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</si>
  <si>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</si>
  <si>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</si>
  <si>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</si>
  <si>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</si>
  <si>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</si>
  <si>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</si>
  <si>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</si>
  <si>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</si>
  <si>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</si>
  <si>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</si>
  <si>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</si>
  <si>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</si>
  <si>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</si>
  <si>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</si>
  <si>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</si>
  <si>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</si>
  <si>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</si>
  <si>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</si>
  <si>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</si>
  <si>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</si>
  <si>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</si>
  <si>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</si>
  <si>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</si>
  <si>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</si>
  <si>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</si>
  <si>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</si>
  <si>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</si>
  <si>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</si>
  <si>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</si>
  <si>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</si>
  <si>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</si>
  <si>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</si>
  <si>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</si>
  <si>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</si>
  <si>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</si>
  <si>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</si>
  <si>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</si>
  <si>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</si>
  <si>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</si>
  <si>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</si>
  <si>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</si>
  <si>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</si>
  <si>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</si>
  <si>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</si>
  <si>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</si>
  <si>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</si>
  <si>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Trimethoprim</t>
  </si>
  <si>
    <t>Sulphamethoxazole</t>
  </si>
  <si>
    <t>T7 2</t>
  </si>
  <si>
    <t>Trimethoprim 160mg per tablet</t>
  </si>
  <si>
    <t>Sulphamethoxazole 800mg</t>
  </si>
  <si>
    <t>Sulfamethoxazole</t>
  </si>
  <si>
    <t>S12 2</t>
  </si>
  <si>
    <t>Bugigi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</si>
</sst>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[$-409]d/mmm/yy;@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1" fontId="10" fillId="3" borderId="24" xfId="0" applyNumberFormat="1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" fontId="10" fillId="3" borderId="28" xfId="0" applyNumberFormat="1" applyFont="1" applyFill="1" applyBorder="1" applyAlignment="1" applyProtection="1">
      <alignment horizontal="center"/>
      <protection locked="0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9" fontId="9" fillId="2" borderId="0" xfId="0" applyNumberFormat="1" applyFont="1" applyFill="1" applyAlignment="1">
      <alignment horizontal="center"/>
    </xf>
    <xf numFmtId="169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8" fillId="2" borderId="53" xfId="0" applyFont="1" applyFill="1" applyBorder="1" applyAlignment="1">
      <alignment horizontal="center"/>
    </xf>
    <xf numFmtId="0" fontId="8" fillId="2" borderId="54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5" xfId="0" applyNumberFormat="1" applyFont="1" applyFill="1" applyBorder="1" applyAlignment="1">
      <alignment horizontal="center"/>
    </xf>
    <xf numFmtId="170" fontId="8" fillId="2" borderId="17" xfId="0" applyNumberFormat="1" applyFont="1" applyFill="1" applyBorder="1" applyAlignment="1">
      <alignment horizontal="center"/>
    </xf>
    <xf numFmtId="170" fontId="8" fillId="2" borderId="24" xfId="0" applyNumberFormat="1" applyFont="1" applyFill="1" applyBorder="1" applyAlignment="1">
      <alignment horizontal="center"/>
    </xf>
    <xf numFmtId="170" fontId="8" fillId="2" borderId="28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1" fontId="10" fillId="3" borderId="24" xfId="0" applyNumberFormat="1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" fontId="10" fillId="3" borderId="28" xfId="0" applyNumberFormat="1" applyFont="1" applyFill="1" applyBorder="1" applyAlignment="1" applyProtection="1">
      <alignment horizontal="center"/>
      <protection locked="0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9" fontId="9" fillId="2" borderId="0" xfId="0" applyNumberFormat="1" applyFont="1" applyFill="1" applyAlignment="1">
      <alignment horizontal="center"/>
    </xf>
    <xf numFmtId="169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8" fillId="2" borderId="53" xfId="0" applyFont="1" applyFill="1" applyBorder="1" applyAlignment="1">
      <alignment horizontal="center"/>
    </xf>
    <xf numFmtId="0" fontId="8" fillId="2" borderId="54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5" xfId="0" applyNumberFormat="1" applyFont="1" applyFill="1" applyBorder="1" applyAlignment="1">
      <alignment horizontal="center"/>
    </xf>
    <xf numFmtId="170" fontId="8" fillId="2" borderId="17" xfId="0" applyNumberFormat="1" applyFont="1" applyFill="1" applyBorder="1" applyAlignment="1">
      <alignment horizontal="center"/>
    </xf>
    <xf numFmtId="170" fontId="8" fillId="2" borderId="24" xfId="0" applyNumberFormat="1" applyFont="1" applyFill="1" applyBorder="1" applyAlignment="1">
      <alignment horizontal="center"/>
    </xf>
    <xf numFmtId="170" fontId="8" fillId="2" borderId="2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20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21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72" fontId="6" fillId="2" borderId="0" xfId="0" applyNumberFormat="1" applyFont="1" applyFill="1"/>
    <xf numFmtId="170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9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right" vertical="center"/>
    </xf>
    <xf numFmtId="170" fontId="6" fillId="2" borderId="19" xfId="0" applyNumberFormat="1" applyFont="1" applyFill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wrapText="1"/>
    </xf>
    <xf numFmtId="164" fontId="5" fillId="2" borderId="19" xfId="0" applyNumberFormat="1" applyFont="1" applyFill="1" applyBorder="1" applyAlignment="1">
      <alignment horizontal="center" wrapText="1"/>
    </xf>
    <xf numFmtId="10" fontId="6" fillId="2" borderId="23" xfId="0" applyNumberFormat="1" applyFont="1" applyFill="1" applyBorder="1" applyAlignment="1">
      <alignment horizontal="center"/>
    </xf>
    <xf numFmtId="10" fontId="6" fillId="2" borderId="40" xfId="0" applyNumberFormat="1" applyFont="1" applyFill="1" applyBorder="1" applyAlignment="1">
      <alignment horizontal="center"/>
    </xf>
    <xf numFmtId="10" fontId="6" fillId="2" borderId="30" xfId="0" applyNumberFormat="1" applyFont="1" applyFill="1" applyBorder="1" applyAlignment="1">
      <alignment horizontal="center"/>
    </xf>
    <xf numFmtId="0" fontId="4" fillId="2" borderId="0" xfId="0" applyFont="1" applyFill="1"/>
    <xf numFmtId="0" fontId="22" fillId="2" borderId="0" xfId="0" applyFont="1" applyFill="1" applyAlignment="1">
      <alignment wrapText="1"/>
    </xf>
    <xf numFmtId="0" fontId="5" fillId="2" borderId="19" xfId="0" applyFont="1" applyFill="1" applyBorder="1" applyAlignment="1">
      <alignment horizontal="center" vertical="center"/>
    </xf>
    <xf numFmtId="165" fontId="5" fillId="2" borderId="35" xfId="0" applyNumberFormat="1" applyFont="1" applyFill="1" applyBorder="1" applyAlignment="1">
      <alignment horizontal="center"/>
    </xf>
    <xf numFmtId="165" fontId="5" fillId="2" borderId="37" xfId="0" applyNumberFormat="1" applyFont="1" applyFill="1" applyBorder="1" applyAlignment="1">
      <alignment horizontal="center"/>
    </xf>
    <xf numFmtId="2" fontId="6" fillId="3" borderId="40" xfId="0" applyNumberFormat="1" applyFont="1" applyFill="1" applyBorder="1" applyProtection="1">
      <protection locked="0"/>
    </xf>
    <xf numFmtId="2" fontId="6" fillId="3" borderId="30" xfId="0" applyNumberFormat="1" applyFont="1" applyFill="1" applyBorder="1" applyProtection="1">
      <protection locked="0"/>
    </xf>
    <xf numFmtId="172" fontId="6" fillId="2" borderId="0" xfId="0" applyNumberFormat="1" applyFont="1" applyFill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10" fillId="3" borderId="14" xfId="0" applyFont="1" applyFill="1" applyBorder="1" applyAlignment="1" applyProtection="1">
      <alignment horizontal="center"/>
      <protection locked="0"/>
    </xf>
    <xf numFmtId="0" fontId="10" fillId="3" borderId="27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6" xfId="0" applyFont="1" applyFill="1" applyBorder="1" applyAlignment="1">
      <alignment horizontal="center"/>
    </xf>
    <xf numFmtId="0" fontId="16" fillId="2" borderId="57" xfId="0" applyFont="1" applyFill="1" applyBorder="1" applyAlignment="1">
      <alignment horizontal="center"/>
    </xf>
    <xf numFmtId="0" fontId="16" fillId="2" borderId="58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7" xfId="0" applyFont="1" applyFill="1" applyBorder="1" applyAlignment="1">
      <alignment horizontal="justify" vertical="center" wrapText="1"/>
    </xf>
    <xf numFmtId="0" fontId="16" fillId="2" borderId="58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16" fillId="2" borderId="57" xfId="0" applyFont="1" applyFill="1" applyBorder="1" applyAlignment="1">
      <alignment horizontal="left" vertical="center" wrapText="1"/>
    </xf>
    <xf numFmtId="0" fontId="16" fillId="2" borderId="58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9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170" fontId="5" fillId="2" borderId="23" xfId="0" applyNumberFormat="1" applyFont="1" applyFill="1" applyBorder="1" applyAlignment="1">
      <alignment horizontal="center" vertical="center"/>
    </xf>
    <xf numFmtId="170" fontId="5" fillId="2" borderId="30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2" fillId="2" borderId="56" xfId="0" applyFont="1" applyFill="1" applyBorder="1" applyAlignment="1">
      <alignment horizontal="center" wrapText="1"/>
    </xf>
    <xf numFmtId="0" fontId="22" fillId="2" borderId="57" xfId="0" applyFont="1" applyFill="1" applyBorder="1" applyAlignment="1">
      <alignment horizontal="center" wrapText="1"/>
    </xf>
    <xf numFmtId="0" fontId="22" fillId="2" borderId="58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4" fontId="8" fillId="2" borderId="7" xfId="0" applyNumberFormat="1" applyFont="1" applyFill="1" applyBorder="1"/>
    <xf numFmtId="14" fontId="2" fillId="2" borderId="7" xfId="0" applyNumberFormat="1" applyFont="1" applyFill="1" applyBorder="1"/>
    <xf numFmtId="14" fontId="6" fillId="2" borderId="7" xfId="0" applyNumberFormat="1" applyFont="1" applyFill="1" applyBorder="1"/>
  </cellXfs>
  <cellStyles count="1">
    <cellStyle name="Normal" xfId="0" builtinId="0"/>
  </cellStyles>
  <dxfs count="37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3" workbookViewId="0">
      <selection activeCell="E60" sqref="E60"/>
    </sheetView>
  </sheetViews>
  <sheetFormatPr defaultRowHeight="13.5" x14ac:dyDescent="0.25"/>
  <cols>
    <col min="1" max="1" width="27.5703125" style="468" customWidth="1"/>
    <col min="2" max="2" width="75.7109375" style="468" customWidth="1"/>
    <col min="3" max="3" width="31.85546875" style="468" customWidth="1"/>
    <col min="4" max="4" width="25.85546875" style="468" customWidth="1"/>
    <col min="5" max="5" width="25.7109375" style="468" customWidth="1"/>
    <col min="6" max="6" width="23.140625" style="468" customWidth="1"/>
    <col min="7" max="7" width="28.42578125" style="468" customWidth="1"/>
    <col min="8" max="8" width="21.5703125" style="468" customWidth="1"/>
    <col min="9" max="9" width="9.140625" style="46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9" t="s">
        <v>0</v>
      </c>
      <c r="B15" s="469"/>
      <c r="C15" s="469"/>
      <c r="D15" s="469"/>
      <c r="E15" s="469"/>
    </row>
    <row r="16" spans="1:6" ht="16.5" customHeight="1" x14ac:dyDescent="0.3">
      <c r="A16" s="456" t="s">
        <v>1</v>
      </c>
      <c r="B16" s="425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438"/>
    </row>
    <row r="18" spans="1:5" ht="16.5" customHeight="1" x14ac:dyDescent="0.3">
      <c r="A18" s="441" t="s">
        <v>4</v>
      </c>
      <c r="B18" s="441" t="s">
        <v>125</v>
      </c>
      <c r="C18" s="438"/>
      <c r="D18" s="438"/>
      <c r="E18" s="438"/>
    </row>
    <row r="19" spans="1:5" ht="16.5" customHeight="1" x14ac:dyDescent="0.3">
      <c r="A19" s="441" t="s">
        <v>6</v>
      </c>
      <c r="B19" s="12">
        <v>99.66</v>
      </c>
      <c r="C19" s="438"/>
      <c r="D19" s="438"/>
      <c r="E19" s="438"/>
    </row>
    <row r="20" spans="1:5" ht="16.5" customHeight="1" x14ac:dyDescent="0.3">
      <c r="A20" s="8" t="s">
        <v>8</v>
      </c>
      <c r="B20" s="12">
        <v>9.4600000000000009</v>
      </c>
      <c r="C20" s="438"/>
      <c r="D20" s="438"/>
      <c r="E20" s="438"/>
    </row>
    <row r="21" spans="1:5" ht="16.5" customHeight="1" x14ac:dyDescent="0.3">
      <c r="A21" s="8" t="s">
        <v>10</v>
      </c>
      <c r="B21" s="13">
        <f>B20/50*10/50</f>
        <v>3.7840000000000006E-2</v>
      </c>
      <c r="C21" s="438"/>
      <c r="D21" s="438"/>
      <c r="E21" s="438"/>
    </row>
    <row r="22" spans="1:5" ht="15.75" customHeight="1" x14ac:dyDescent="0.25">
      <c r="A22" s="438"/>
      <c r="B22" s="438"/>
      <c r="C22" s="438"/>
      <c r="D22" s="438"/>
      <c r="E22" s="438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8558087</v>
      </c>
      <c r="C24" s="18">
        <v>6565.53</v>
      </c>
      <c r="D24" s="19">
        <v>1.1200000000000001</v>
      </c>
      <c r="E24" s="20">
        <v>2.8</v>
      </c>
    </row>
    <row r="25" spans="1:5" ht="16.5" customHeight="1" x14ac:dyDescent="0.3">
      <c r="A25" s="17">
        <v>2</v>
      </c>
      <c r="B25" s="18">
        <v>8547067</v>
      </c>
      <c r="C25" s="18">
        <v>6573.11</v>
      </c>
      <c r="D25" s="19">
        <v>1.07</v>
      </c>
      <c r="E25" s="19">
        <v>2.8</v>
      </c>
    </row>
    <row r="26" spans="1:5" ht="16.5" customHeight="1" x14ac:dyDescent="0.3">
      <c r="A26" s="17">
        <v>3</v>
      </c>
      <c r="B26" s="18">
        <v>8547461</v>
      </c>
      <c r="C26" s="18">
        <v>6576.38</v>
      </c>
      <c r="D26" s="19">
        <v>1.1100000000000001</v>
      </c>
      <c r="E26" s="19">
        <v>2.8</v>
      </c>
    </row>
    <row r="27" spans="1:5" ht="16.5" customHeight="1" x14ac:dyDescent="0.3">
      <c r="A27" s="17">
        <v>4</v>
      </c>
      <c r="B27" s="18">
        <v>8539817</v>
      </c>
      <c r="C27" s="18">
        <v>6583.45</v>
      </c>
      <c r="D27" s="19">
        <v>1.08</v>
      </c>
      <c r="E27" s="19">
        <v>2.8</v>
      </c>
    </row>
    <row r="28" spans="1:5" ht="16.5" customHeight="1" x14ac:dyDescent="0.3">
      <c r="A28" s="17">
        <v>5</v>
      </c>
      <c r="B28" s="18">
        <v>8556409</v>
      </c>
      <c r="C28" s="18">
        <v>6574</v>
      </c>
      <c r="D28" s="19">
        <v>1.08</v>
      </c>
      <c r="E28" s="19">
        <v>2.8</v>
      </c>
    </row>
    <row r="29" spans="1:5" ht="16.5" customHeight="1" x14ac:dyDescent="0.3">
      <c r="A29" s="17">
        <v>6</v>
      </c>
      <c r="B29" s="21">
        <v>8536088</v>
      </c>
      <c r="C29" s="21">
        <v>6601.56</v>
      </c>
      <c r="D29" s="22">
        <v>1.0900000000000001</v>
      </c>
      <c r="E29" s="22">
        <v>2.8</v>
      </c>
    </row>
    <row r="30" spans="1:5" ht="16.5" customHeight="1" x14ac:dyDescent="0.3">
      <c r="A30" s="23" t="s">
        <v>18</v>
      </c>
      <c r="B30" s="24">
        <f>AVERAGE(B24:B29)</f>
        <v>8547488.166666666</v>
      </c>
      <c r="C30" s="25">
        <f>AVERAGE(C24:C29)</f>
        <v>6579.0050000000001</v>
      </c>
      <c r="D30" s="26">
        <f>AVERAGE(D24:D29)</f>
        <v>1.0916666666666668</v>
      </c>
      <c r="E30" s="26">
        <f>AVERAGE(E24:E29)</f>
        <v>2.8000000000000003</v>
      </c>
    </row>
    <row r="31" spans="1:5" ht="16.5" customHeight="1" x14ac:dyDescent="0.3">
      <c r="A31" s="27" t="s">
        <v>19</v>
      </c>
      <c r="B31" s="28">
        <f>(STDEV(B24:B29)/B30)</f>
        <v>1.0211392519203278E-3</v>
      </c>
      <c r="C31" s="29"/>
      <c r="D31" s="29"/>
      <c r="E31" s="30"/>
    </row>
    <row r="32" spans="1:5" s="468" customFormat="1" ht="16.5" customHeight="1" x14ac:dyDescent="0.3">
      <c r="A32" s="31" t="s">
        <v>20</v>
      </c>
      <c r="B32" s="32">
        <f>COUNT(B24:B29)</f>
        <v>6</v>
      </c>
      <c r="C32" s="33"/>
      <c r="D32" s="439"/>
      <c r="E32" s="35"/>
    </row>
    <row r="33" spans="1:5" s="468" customFormat="1" ht="15.75" customHeight="1" x14ac:dyDescent="0.25">
      <c r="A33" s="438"/>
      <c r="B33" s="438"/>
      <c r="C33" s="438"/>
      <c r="D33" s="438"/>
      <c r="E33" s="438"/>
    </row>
    <row r="34" spans="1:5" s="468" customFormat="1" ht="16.5" customHeight="1" x14ac:dyDescent="0.3">
      <c r="A34" s="44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441"/>
      <c r="B35" s="40" t="s">
        <v>23</v>
      </c>
      <c r="C35" s="39"/>
      <c r="D35" s="39"/>
      <c r="E35" s="39"/>
    </row>
    <row r="36" spans="1:5" ht="16.5" customHeight="1" x14ac:dyDescent="0.3">
      <c r="A36" s="441"/>
      <c r="B36" s="40" t="s">
        <v>24</v>
      </c>
      <c r="C36" s="39"/>
      <c r="D36" s="39"/>
      <c r="E36" s="39"/>
    </row>
    <row r="37" spans="1:5" ht="15.75" customHeight="1" x14ac:dyDescent="0.25">
      <c r="A37" s="438"/>
      <c r="B37" s="438"/>
      <c r="C37" s="438"/>
      <c r="D37" s="438"/>
      <c r="E37" s="438"/>
    </row>
    <row r="38" spans="1:5" ht="16.5" customHeight="1" x14ac:dyDescent="0.3">
      <c r="A38" s="456" t="s">
        <v>1</v>
      </c>
      <c r="B38" s="425" t="s">
        <v>25</v>
      </c>
    </row>
    <row r="39" spans="1:5" ht="16.5" customHeight="1" x14ac:dyDescent="0.3">
      <c r="A39" s="441" t="s">
        <v>4</v>
      </c>
      <c r="B39" s="8"/>
      <c r="C39" s="438"/>
      <c r="D39" s="438"/>
      <c r="E39" s="438"/>
    </row>
    <row r="40" spans="1:5" ht="16.5" customHeight="1" x14ac:dyDescent="0.3">
      <c r="A40" s="441" t="s">
        <v>6</v>
      </c>
      <c r="B40" s="12"/>
      <c r="C40" s="438"/>
      <c r="D40" s="438"/>
      <c r="E40" s="438"/>
    </row>
    <row r="41" spans="1:5" ht="16.5" customHeight="1" x14ac:dyDescent="0.3">
      <c r="A41" s="8" t="s">
        <v>8</v>
      </c>
      <c r="B41" s="12"/>
      <c r="C41" s="438"/>
      <c r="D41" s="438"/>
      <c r="E41" s="438"/>
    </row>
    <row r="42" spans="1:5" ht="16.5" customHeight="1" x14ac:dyDescent="0.3">
      <c r="A42" s="8" t="s">
        <v>10</v>
      </c>
      <c r="B42" s="13"/>
      <c r="C42" s="438"/>
      <c r="D42" s="438"/>
      <c r="E42" s="438"/>
    </row>
    <row r="43" spans="1:5" ht="15.75" customHeight="1" x14ac:dyDescent="0.25">
      <c r="A43" s="438"/>
      <c r="B43" s="438"/>
      <c r="C43" s="438"/>
      <c r="D43" s="438"/>
      <c r="E43" s="438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8558087</v>
      </c>
      <c r="C45" s="18">
        <v>6565.53</v>
      </c>
      <c r="D45" s="19">
        <v>1.1200000000000001</v>
      </c>
      <c r="E45" s="20">
        <v>2.8</v>
      </c>
    </row>
    <row r="46" spans="1:5" ht="16.5" customHeight="1" x14ac:dyDescent="0.3">
      <c r="A46" s="17">
        <v>2</v>
      </c>
      <c r="B46" s="18">
        <v>8547067</v>
      </c>
      <c r="C46" s="18">
        <v>6573.11</v>
      </c>
      <c r="D46" s="19">
        <v>1.07</v>
      </c>
      <c r="E46" s="19">
        <v>2.8</v>
      </c>
    </row>
    <row r="47" spans="1:5" ht="16.5" customHeight="1" x14ac:dyDescent="0.3">
      <c r="A47" s="17">
        <v>3</v>
      </c>
      <c r="B47" s="18">
        <v>8547461</v>
      </c>
      <c r="C47" s="18">
        <v>6576.38</v>
      </c>
      <c r="D47" s="19">
        <v>1.1100000000000001</v>
      </c>
      <c r="E47" s="19">
        <v>2.8</v>
      </c>
    </row>
    <row r="48" spans="1:5" ht="16.5" customHeight="1" x14ac:dyDescent="0.3">
      <c r="A48" s="17">
        <v>4</v>
      </c>
      <c r="B48" s="18">
        <v>8539817</v>
      </c>
      <c r="C48" s="18">
        <v>6583.45</v>
      </c>
      <c r="D48" s="19">
        <v>1.08</v>
      </c>
      <c r="E48" s="19">
        <v>2.8</v>
      </c>
    </row>
    <row r="49" spans="1:7" ht="16.5" customHeight="1" x14ac:dyDescent="0.3">
      <c r="A49" s="17">
        <v>5</v>
      </c>
      <c r="B49" s="18">
        <v>8556409</v>
      </c>
      <c r="C49" s="18">
        <v>6574</v>
      </c>
      <c r="D49" s="19">
        <v>1.08</v>
      </c>
      <c r="E49" s="19">
        <v>2.8</v>
      </c>
    </row>
    <row r="50" spans="1:7" ht="16.5" customHeight="1" x14ac:dyDescent="0.3">
      <c r="A50" s="17">
        <v>6</v>
      </c>
      <c r="B50" s="21">
        <v>8536088</v>
      </c>
      <c r="C50" s="21">
        <v>6601.56</v>
      </c>
      <c r="D50" s="22">
        <v>1.0900000000000001</v>
      </c>
      <c r="E50" s="22">
        <v>2.8</v>
      </c>
    </row>
    <row r="51" spans="1:7" ht="16.5" customHeight="1" x14ac:dyDescent="0.3">
      <c r="A51" s="23" t="s">
        <v>18</v>
      </c>
      <c r="B51" s="24">
        <f>AVERAGE(B45:B50)</f>
        <v>8547488.166666666</v>
      </c>
      <c r="C51" s="25">
        <f>AVERAGE(C45:C50)</f>
        <v>6579.0050000000001</v>
      </c>
      <c r="D51" s="26">
        <f>AVERAGE(D45:D50)</f>
        <v>1.0916666666666668</v>
      </c>
      <c r="E51" s="26">
        <f>AVERAGE(E45:E50)</f>
        <v>2.8000000000000003</v>
      </c>
    </row>
    <row r="52" spans="1:7" ht="16.5" customHeight="1" x14ac:dyDescent="0.3">
      <c r="A52" s="27" t="s">
        <v>19</v>
      </c>
      <c r="B52" s="28">
        <f>(STDEV(B45:B50)/B51)</f>
        <v>1.0211392519203278E-3</v>
      </c>
      <c r="C52" s="29"/>
      <c r="D52" s="29"/>
      <c r="E52" s="30"/>
    </row>
    <row r="53" spans="1:7" s="468" customFormat="1" ht="16.5" customHeight="1" x14ac:dyDescent="0.3">
      <c r="A53" s="31" t="s">
        <v>20</v>
      </c>
      <c r="B53" s="32">
        <f>COUNT(B45:B50)</f>
        <v>6</v>
      </c>
      <c r="C53" s="33"/>
      <c r="D53" s="439"/>
      <c r="E53" s="35"/>
    </row>
    <row r="54" spans="1:7" s="468" customFormat="1" ht="15.75" customHeight="1" x14ac:dyDescent="0.25">
      <c r="A54" s="438"/>
      <c r="B54" s="438"/>
      <c r="C54" s="438"/>
      <c r="D54" s="438"/>
      <c r="E54" s="438"/>
    </row>
    <row r="55" spans="1:7" s="468" customFormat="1" ht="16.5" customHeight="1" x14ac:dyDescent="0.3">
      <c r="A55" s="44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441"/>
      <c r="B56" s="40" t="s">
        <v>23</v>
      </c>
      <c r="C56" s="39"/>
      <c r="D56" s="39"/>
      <c r="E56" s="39"/>
    </row>
    <row r="57" spans="1:7" ht="16.5" customHeight="1" x14ac:dyDescent="0.3">
      <c r="A57" s="441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467"/>
      <c r="D58" s="43"/>
      <c r="F58" s="44"/>
      <c r="G58" s="44"/>
    </row>
    <row r="59" spans="1:7" ht="15" customHeight="1" x14ac:dyDescent="0.3">
      <c r="B59" s="470" t="s">
        <v>26</v>
      </c>
      <c r="C59" s="47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 t="s">
        <v>132</v>
      </c>
      <c r="C60" s="49"/>
      <c r="E60" s="519">
        <v>42316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6" zoomScale="50" zoomScaleNormal="40" zoomScalePageLayoutView="50" workbookViewId="0">
      <selection activeCell="F114" sqref="F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9" t="s">
        <v>31</v>
      </c>
      <c r="B1" s="499"/>
      <c r="C1" s="499"/>
      <c r="D1" s="499"/>
      <c r="E1" s="499"/>
      <c r="F1" s="499"/>
      <c r="G1" s="499"/>
      <c r="H1" s="499"/>
      <c r="I1" s="499"/>
    </row>
    <row r="2" spans="1:9" ht="18.75" customHeight="1" x14ac:dyDescent="0.25">
      <c r="A2" s="499"/>
      <c r="B2" s="499"/>
      <c r="C2" s="499"/>
      <c r="D2" s="499"/>
      <c r="E2" s="499"/>
      <c r="F2" s="499"/>
      <c r="G2" s="499"/>
      <c r="H2" s="499"/>
      <c r="I2" s="499"/>
    </row>
    <row r="3" spans="1:9" ht="18.75" customHeight="1" x14ac:dyDescent="0.25">
      <c r="A3" s="499"/>
      <c r="B3" s="499"/>
      <c r="C3" s="499"/>
      <c r="D3" s="499"/>
      <c r="E3" s="499"/>
      <c r="F3" s="499"/>
      <c r="G3" s="499"/>
      <c r="H3" s="499"/>
      <c r="I3" s="499"/>
    </row>
    <row r="4" spans="1:9" ht="18.75" customHeight="1" x14ac:dyDescent="0.25">
      <c r="A4" s="499"/>
      <c r="B4" s="499"/>
      <c r="C4" s="499"/>
      <c r="D4" s="499"/>
      <c r="E4" s="499"/>
      <c r="F4" s="499"/>
      <c r="G4" s="499"/>
      <c r="H4" s="499"/>
      <c r="I4" s="499"/>
    </row>
    <row r="5" spans="1:9" ht="18.75" customHeight="1" x14ac:dyDescent="0.25">
      <c r="A5" s="499"/>
      <c r="B5" s="499"/>
      <c r="C5" s="499"/>
      <c r="D5" s="499"/>
      <c r="E5" s="499"/>
      <c r="F5" s="499"/>
      <c r="G5" s="499"/>
      <c r="H5" s="499"/>
      <c r="I5" s="499"/>
    </row>
    <row r="6" spans="1:9" ht="18.75" customHeight="1" x14ac:dyDescent="0.25">
      <c r="A6" s="499"/>
      <c r="B6" s="499"/>
      <c r="C6" s="499"/>
      <c r="D6" s="499"/>
      <c r="E6" s="499"/>
      <c r="F6" s="499"/>
      <c r="G6" s="499"/>
      <c r="H6" s="499"/>
      <c r="I6" s="499"/>
    </row>
    <row r="7" spans="1:9" ht="18.75" customHeight="1" x14ac:dyDescent="0.25">
      <c r="A7" s="499"/>
      <c r="B7" s="499"/>
      <c r="C7" s="499"/>
      <c r="D7" s="499"/>
      <c r="E7" s="499"/>
      <c r="F7" s="499"/>
      <c r="G7" s="499"/>
      <c r="H7" s="499"/>
      <c r="I7" s="499"/>
    </row>
    <row r="8" spans="1:9" x14ac:dyDescent="0.25">
      <c r="A8" s="500" t="s">
        <v>32</v>
      </c>
      <c r="B8" s="500"/>
      <c r="C8" s="500"/>
      <c r="D8" s="500"/>
      <c r="E8" s="500"/>
      <c r="F8" s="500"/>
      <c r="G8" s="500"/>
      <c r="H8" s="500"/>
      <c r="I8" s="500"/>
    </row>
    <row r="9" spans="1:9" x14ac:dyDescent="0.25">
      <c r="A9" s="500"/>
      <c r="B9" s="500"/>
      <c r="C9" s="500"/>
      <c r="D9" s="500"/>
      <c r="E9" s="500"/>
      <c r="F9" s="500"/>
      <c r="G9" s="500"/>
      <c r="H9" s="500"/>
      <c r="I9" s="500"/>
    </row>
    <row r="10" spans="1:9" x14ac:dyDescent="0.25">
      <c r="A10" s="500"/>
      <c r="B10" s="500"/>
      <c r="C10" s="500"/>
      <c r="D10" s="500"/>
      <c r="E10" s="500"/>
      <c r="F10" s="500"/>
      <c r="G10" s="500"/>
      <c r="H10" s="500"/>
      <c r="I10" s="500"/>
    </row>
    <row r="11" spans="1:9" x14ac:dyDescent="0.25">
      <c r="A11" s="500"/>
      <c r="B11" s="500"/>
      <c r="C11" s="500"/>
      <c r="D11" s="500"/>
      <c r="E11" s="500"/>
      <c r="F11" s="500"/>
      <c r="G11" s="500"/>
      <c r="H11" s="500"/>
      <c r="I11" s="500"/>
    </row>
    <row r="12" spans="1:9" x14ac:dyDescent="0.25">
      <c r="A12" s="500"/>
      <c r="B12" s="500"/>
      <c r="C12" s="500"/>
      <c r="D12" s="500"/>
      <c r="E12" s="500"/>
      <c r="F12" s="500"/>
      <c r="G12" s="500"/>
      <c r="H12" s="500"/>
      <c r="I12" s="500"/>
    </row>
    <row r="13" spans="1:9" x14ac:dyDescent="0.25">
      <c r="A13" s="500"/>
      <c r="B13" s="500"/>
      <c r="C13" s="500"/>
      <c r="D13" s="500"/>
      <c r="E13" s="500"/>
      <c r="F13" s="500"/>
      <c r="G13" s="500"/>
      <c r="H13" s="500"/>
      <c r="I13" s="500"/>
    </row>
    <row r="14" spans="1:9" x14ac:dyDescent="0.25">
      <c r="A14" s="500"/>
      <c r="B14" s="500"/>
      <c r="C14" s="500"/>
      <c r="D14" s="500"/>
      <c r="E14" s="500"/>
      <c r="F14" s="500"/>
      <c r="G14" s="500"/>
      <c r="H14" s="500"/>
      <c r="I14" s="500"/>
    </row>
    <row r="15" spans="1:9" ht="19.5" customHeight="1" x14ac:dyDescent="0.3">
      <c r="A15" s="52"/>
    </row>
    <row r="16" spans="1:9" ht="19.5" customHeight="1" x14ac:dyDescent="0.3">
      <c r="A16" s="472" t="s">
        <v>33</v>
      </c>
      <c r="B16" s="473"/>
      <c r="C16" s="473"/>
      <c r="D16" s="473"/>
      <c r="E16" s="473"/>
      <c r="F16" s="473"/>
      <c r="G16" s="473"/>
      <c r="H16" s="474"/>
    </row>
    <row r="17" spans="1:14" ht="20.25" customHeight="1" x14ac:dyDescent="0.25">
      <c r="A17" s="475" t="s">
        <v>34</v>
      </c>
      <c r="B17" s="475"/>
      <c r="C17" s="475"/>
      <c r="D17" s="475"/>
      <c r="E17" s="475"/>
      <c r="F17" s="475"/>
      <c r="G17" s="475"/>
      <c r="H17" s="475"/>
    </row>
    <row r="18" spans="1:14" ht="26.25" customHeight="1" x14ac:dyDescent="0.4">
      <c r="A18" s="54" t="s">
        <v>35</v>
      </c>
      <c r="B18" s="471" t="s">
        <v>5</v>
      </c>
      <c r="C18" s="471"/>
      <c r="D18" s="223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7</v>
      </c>
      <c r="C19" s="225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476" t="s">
        <v>125</v>
      </c>
      <c r="C20" s="476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476" t="s">
        <v>128</v>
      </c>
      <c r="C21" s="476"/>
      <c r="D21" s="476"/>
      <c r="E21" s="476"/>
      <c r="F21" s="476"/>
      <c r="G21" s="476"/>
      <c r="H21" s="476"/>
      <c r="I21" s="58"/>
    </row>
    <row r="22" spans="1:14" ht="26.25" customHeight="1" x14ac:dyDescent="0.4">
      <c r="A22" s="54" t="s">
        <v>39</v>
      </c>
      <c r="B22" s="59">
        <v>42226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59">
        <v>42227</v>
      </c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471" t="s">
        <v>125</v>
      </c>
      <c r="C26" s="471"/>
    </row>
    <row r="27" spans="1:14" ht="26.25" customHeight="1" x14ac:dyDescent="0.4">
      <c r="A27" s="63" t="s">
        <v>41</v>
      </c>
      <c r="B27" s="487" t="s">
        <v>127</v>
      </c>
      <c r="C27" s="487"/>
    </row>
    <row r="28" spans="1:14" ht="27" customHeight="1" x14ac:dyDescent="0.4">
      <c r="A28" s="63" t="s">
        <v>6</v>
      </c>
      <c r="B28" s="64">
        <v>99.66</v>
      </c>
    </row>
    <row r="29" spans="1:14" s="14" customFormat="1" ht="27" customHeight="1" x14ac:dyDescent="0.4">
      <c r="A29" s="63" t="s">
        <v>42</v>
      </c>
      <c r="B29" s="65">
        <v>0</v>
      </c>
      <c r="C29" s="478" t="s">
        <v>43</v>
      </c>
      <c r="D29" s="479"/>
      <c r="E29" s="479"/>
      <c r="F29" s="479"/>
      <c r="G29" s="480"/>
      <c r="I29" s="66"/>
      <c r="J29" s="66"/>
      <c r="K29" s="66"/>
      <c r="L29" s="66"/>
    </row>
    <row r="30" spans="1:14" s="14" customFormat="1" ht="19.5" customHeight="1" x14ac:dyDescent="0.3">
      <c r="A30" s="63" t="s">
        <v>44</v>
      </c>
      <c r="B30" s="67">
        <f>B28-B29</f>
        <v>99.66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45</v>
      </c>
      <c r="B31" s="70">
        <v>1</v>
      </c>
      <c r="C31" s="481" t="s">
        <v>46</v>
      </c>
      <c r="D31" s="482"/>
      <c r="E31" s="482"/>
      <c r="F31" s="482"/>
      <c r="G31" s="482"/>
      <c r="H31" s="483"/>
      <c r="I31" s="66"/>
      <c r="J31" s="66"/>
      <c r="K31" s="66"/>
      <c r="L31" s="66"/>
    </row>
    <row r="32" spans="1:14" s="14" customFormat="1" ht="27" customHeight="1" x14ac:dyDescent="0.4">
      <c r="A32" s="63" t="s">
        <v>47</v>
      </c>
      <c r="B32" s="70">
        <v>1</v>
      </c>
      <c r="C32" s="481" t="s">
        <v>48</v>
      </c>
      <c r="D32" s="482"/>
      <c r="E32" s="482"/>
      <c r="F32" s="482"/>
      <c r="G32" s="482"/>
      <c r="H32" s="483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51</v>
      </c>
      <c r="B36" s="77">
        <v>50</v>
      </c>
      <c r="C36" s="53"/>
      <c r="D36" s="484" t="s">
        <v>52</v>
      </c>
      <c r="E36" s="485"/>
      <c r="F36" s="484" t="s">
        <v>53</v>
      </c>
      <c r="G36" s="486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54</v>
      </c>
      <c r="B37" s="79">
        <v>10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59</v>
      </c>
      <c r="B38" s="79">
        <v>50</v>
      </c>
      <c r="C38" s="85">
        <v>1</v>
      </c>
      <c r="D38" s="86">
        <v>8524431</v>
      </c>
      <c r="E38" s="87">
        <f>IF(ISBLANK(D38),"-",$D$48/$D$45*D38)</f>
        <v>7233414.7518051853</v>
      </c>
      <c r="F38" s="86">
        <v>8571714</v>
      </c>
      <c r="G38" s="88">
        <f>IF(ISBLANK(F38),"-",$D$48/$F$45*F38)</f>
        <v>7304422.296956148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60</v>
      </c>
      <c r="B39" s="79">
        <v>1</v>
      </c>
      <c r="C39" s="90">
        <v>2</v>
      </c>
      <c r="D39" s="91">
        <v>8544259</v>
      </c>
      <c r="E39" s="92">
        <f>IF(ISBLANK(D39),"-",$D$48/$D$45*D39)</f>
        <v>7250239.8217363982</v>
      </c>
      <c r="F39" s="91">
        <v>8562854</v>
      </c>
      <c r="G39" s="93">
        <f>IF(ISBLANK(F39),"-",$D$48/$F$45*F39)</f>
        <v>7296872.2105264058</v>
      </c>
      <c r="I39" s="488">
        <f>ABS((F43/D43*D42)-F42)/D42</f>
        <v>8.5964947677992874E-3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61</v>
      </c>
      <c r="B40" s="79">
        <v>1</v>
      </c>
      <c r="C40" s="90">
        <v>3</v>
      </c>
      <c r="D40" s="91">
        <v>8546643</v>
      </c>
      <c r="E40" s="92">
        <f>IF(ISBLANK(D40),"-",$D$48/$D$45*D40)</f>
        <v>7252262.7674049474</v>
      </c>
      <c r="F40" s="91">
        <v>8592657</v>
      </c>
      <c r="G40" s="93">
        <f>IF(ISBLANK(F40),"-",$D$48/$F$45*F40)</f>
        <v>7322268.9628814403</v>
      </c>
      <c r="I40" s="488"/>
      <c r="L40" s="71"/>
      <c r="M40" s="71"/>
      <c r="N40" s="94"/>
    </row>
    <row r="41" spans="1:14" ht="27" customHeight="1" x14ac:dyDescent="0.4">
      <c r="A41" s="78" t="s">
        <v>62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63</v>
      </c>
      <c r="B42" s="79">
        <v>1</v>
      </c>
      <c r="C42" s="100" t="s">
        <v>64</v>
      </c>
      <c r="D42" s="101">
        <f>AVERAGE(D38:D41)</f>
        <v>8538444.333333334</v>
      </c>
      <c r="E42" s="102">
        <f>AVERAGE(E38:E41)</f>
        <v>7245305.7803155109</v>
      </c>
      <c r="F42" s="101">
        <f>AVERAGE(F38:F41)</f>
        <v>8575741.666666666</v>
      </c>
      <c r="G42" s="103">
        <f>AVERAGE(G38:G41)</f>
        <v>7307854.490121332</v>
      </c>
      <c r="H42" s="104"/>
    </row>
    <row r="43" spans="1:14" ht="26.25" customHeight="1" x14ac:dyDescent="0.4">
      <c r="A43" s="78" t="s">
        <v>65</v>
      </c>
      <c r="B43" s="79">
        <v>1</v>
      </c>
      <c r="C43" s="105" t="s">
        <v>66</v>
      </c>
      <c r="D43" s="106">
        <v>9.4600000000000009</v>
      </c>
      <c r="E43" s="94"/>
      <c r="F43" s="106">
        <v>9.42</v>
      </c>
      <c r="H43" s="104"/>
    </row>
    <row r="44" spans="1:14" ht="26.25" customHeight="1" x14ac:dyDescent="0.4">
      <c r="A44" s="78" t="s">
        <v>67</v>
      </c>
      <c r="B44" s="79">
        <v>1</v>
      </c>
      <c r="C44" s="107" t="s">
        <v>68</v>
      </c>
      <c r="D44" s="108">
        <f>D43*$B$34</f>
        <v>9.4600000000000009</v>
      </c>
      <c r="E44" s="109"/>
      <c r="F44" s="108">
        <f>F43*$B$34</f>
        <v>9.42</v>
      </c>
      <c r="H44" s="104"/>
    </row>
    <row r="45" spans="1:14" ht="19.5" customHeight="1" x14ac:dyDescent="0.3">
      <c r="A45" s="78" t="s">
        <v>69</v>
      </c>
      <c r="B45" s="110">
        <f>(B44/B43)*(B42/B41)*(B40/B39)*(B38/B37)*B36</f>
        <v>250</v>
      </c>
      <c r="C45" s="107" t="s">
        <v>70</v>
      </c>
      <c r="D45" s="111">
        <f>D44*$B$30/100</f>
        <v>9.427836000000001</v>
      </c>
      <c r="E45" s="112"/>
      <c r="F45" s="111">
        <f>F44*$B$30/100</f>
        <v>9.3879719999999995</v>
      </c>
      <c r="H45" s="104"/>
    </row>
    <row r="46" spans="1:14" ht="19.5" customHeight="1" x14ac:dyDescent="0.3">
      <c r="A46" s="489" t="s">
        <v>71</v>
      </c>
      <c r="B46" s="490"/>
      <c r="C46" s="107" t="s">
        <v>72</v>
      </c>
      <c r="D46" s="113">
        <f>D45/$B$45</f>
        <v>3.7711344000000001E-2</v>
      </c>
      <c r="E46" s="114"/>
      <c r="F46" s="115">
        <f>F45/$B$45</f>
        <v>3.7551887999999999E-2</v>
      </c>
      <c r="H46" s="104"/>
    </row>
    <row r="47" spans="1:14" ht="27" customHeight="1" x14ac:dyDescent="0.4">
      <c r="A47" s="491"/>
      <c r="B47" s="492"/>
      <c r="C47" s="116" t="s">
        <v>73</v>
      </c>
      <c r="D47" s="117">
        <v>3.2000000000000001E-2</v>
      </c>
      <c r="E47" s="118"/>
      <c r="F47" s="114"/>
      <c r="H47" s="104"/>
    </row>
    <row r="48" spans="1:14" ht="18.75" x14ac:dyDescent="0.3">
      <c r="C48" s="119" t="s">
        <v>74</v>
      </c>
      <c r="D48" s="111">
        <f>D47*$B$45</f>
        <v>8</v>
      </c>
      <c r="F48" s="120"/>
      <c r="H48" s="104"/>
    </row>
    <row r="49" spans="1:12" ht="19.5" customHeight="1" x14ac:dyDescent="0.3">
      <c r="C49" s="121" t="s">
        <v>75</v>
      </c>
      <c r="D49" s="122">
        <f>D48/B34</f>
        <v>8</v>
      </c>
      <c r="F49" s="120"/>
      <c r="H49" s="104"/>
    </row>
    <row r="50" spans="1:12" ht="18.75" x14ac:dyDescent="0.3">
      <c r="C50" s="76" t="s">
        <v>76</v>
      </c>
      <c r="D50" s="123">
        <f>AVERAGE(E38:E41,G38:G41)</f>
        <v>7276580.1352184201</v>
      </c>
      <c r="F50" s="124"/>
      <c r="H50" s="104"/>
    </row>
    <row r="51" spans="1:12" ht="18.75" x14ac:dyDescent="0.3">
      <c r="C51" s="78" t="s">
        <v>77</v>
      </c>
      <c r="D51" s="125">
        <f>STDEV(E38:E41,G38:G41)/D50</f>
        <v>4.9255026787247257E-3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78</v>
      </c>
    </row>
    <row r="55" spans="1:12" ht="18.75" x14ac:dyDescent="0.3">
      <c r="A55" s="53" t="s">
        <v>79</v>
      </c>
      <c r="B55" s="130" t="str">
        <f>B21</f>
        <v>Trimethoprim 160mg per tablet</v>
      </c>
    </row>
    <row r="56" spans="1:12" ht="26.25" customHeight="1" x14ac:dyDescent="0.4">
      <c r="A56" s="131" t="s">
        <v>80</v>
      </c>
      <c r="B56" s="132">
        <v>160</v>
      </c>
      <c r="C56" s="53" t="str">
        <f>B20</f>
        <v>Trimethoprim</v>
      </c>
      <c r="H56" s="133"/>
    </row>
    <row r="57" spans="1:12" ht="18.75" x14ac:dyDescent="0.3">
      <c r="A57" s="130" t="s">
        <v>81</v>
      </c>
      <c r="B57" s="224">
        <f>Uniformity!C46</f>
        <v>1040.9184999999998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82</v>
      </c>
      <c r="B59" s="77">
        <v>200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L59" s="66"/>
    </row>
    <row r="60" spans="1:12" s="14" customFormat="1" ht="26.25" customHeight="1" x14ac:dyDescent="0.4">
      <c r="A60" s="78" t="s">
        <v>86</v>
      </c>
      <c r="B60" s="79">
        <v>2</v>
      </c>
      <c r="C60" s="493" t="s">
        <v>87</v>
      </c>
      <c r="D60" s="496">
        <v>1027.57</v>
      </c>
      <c r="E60" s="136">
        <v>1</v>
      </c>
      <c r="F60" s="137">
        <v>7206306</v>
      </c>
      <c r="G60" s="226">
        <f>IF(ISBLANK(F60),"-",(F60/$D$50*$D$47*$B$68)*($B$57/$D$60))</f>
        <v>160.5131717136764</v>
      </c>
      <c r="H60" s="138">
        <f t="shared" ref="H60:H71" si="0">IF(ISBLANK(F60),"-",G60/$B$56)</f>
        <v>1.0032073232104775</v>
      </c>
      <c r="L60" s="66"/>
    </row>
    <row r="61" spans="1:12" s="14" customFormat="1" ht="26.25" customHeight="1" x14ac:dyDescent="0.4">
      <c r="A61" s="78" t="s">
        <v>88</v>
      </c>
      <c r="B61" s="79">
        <v>50</v>
      </c>
      <c r="C61" s="494"/>
      <c r="D61" s="497"/>
      <c r="E61" s="139">
        <v>2</v>
      </c>
      <c r="F61" s="91">
        <v>7208836</v>
      </c>
      <c r="G61" s="227">
        <f>IF(ISBLANK(F61),"-",(F61/$D$50*$D$47*$B$68)*($B$57/$D$60))</f>
        <v>160.56952490273548</v>
      </c>
      <c r="H61" s="140">
        <f t="shared" si="0"/>
        <v>1.0035595306420968</v>
      </c>
      <c r="L61" s="66"/>
    </row>
    <row r="62" spans="1:12" s="14" customFormat="1" ht="26.25" customHeight="1" x14ac:dyDescent="0.4">
      <c r="A62" s="78" t="s">
        <v>89</v>
      </c>
      <c r="B62" s="79">
        <v>1</v>
      </c>
      <c r="C62" s="494"/>
      <c r="D62" s="497"/>
      <c r="E62" s="139">
        <v>3</v>
      </c>
      <c r="F62" s="141">
        <v>7207638</v>
      </c>
      <c r="G62" s="227">
        <f>IF(ISBLANK(F62),"-",(F62/$D$50*$D$47*$B$68)*($B$57/$D$60))</f>
        <v>160.54284066538656</v>
      </c>
      <c r="H62" s="140">
        <f t="shared" si="0"/>
        <v>1.003392754158666</v>
      </c>
      <c r="L62" s="66"/>
    </row>
    <row r="63" spans="1:12" ht="27" customHeight="1" x14ac:dyDescent="0.4">
      <c r="A63" s="78" t="s">
        <v>90</v>
      </c>
      <c r="B63" s="79">
        <v>1</v>
      </c>
      <c r="C63" s="495"/>
      <c r="D63" s="498"/>
      <c r="E63" s="142">
        <v>4</v>
      </c>
      <c r="F63" s="143"/>
      <c r="G63" s="227" t="str">
        <f>IF(ISBLANK(F63),"-",(F63/$D$50*$D$47*$B$68)*($B$57/$D$60))</f>
        <v>-</v>
      </c>
      <c r="H63" s="140" t="str">
        <f t="shared" si="0"/>
        <v>-</v>
      </c>
    </row>
    <row r="64" spans="1:12" ht="26.25" customHeight="1" x14ac:dyDescent="0.4">
      <c r="A64" s="78" t="s">
        <v>91</v>
      </c>
      <c r="B64" s="79">
        <v>1</v>
      </c>
      <c r="C64" s="493" t="s">
        <v>92</v>
      </c>
      <c r="D64" s="496">
        <v>1043.77</v>
      </c>
      <c r="E64" s="136">
        <v>1</v>
      </c>
      <c r="F64" s="137">
        <v>7133827</v>
      </c>
      <c r="G64" s="228">
        <f>IF(ISBLANK(F64),"-",(F64/$D$50*$D$47*$B$68)*($B$57/$D$64))</f>
        <v>156.43256137901841</v>
      </c>
      <c r="H64" s="144">
        <f t="shared" si="0"/>
        <v>0.97770350861886501</v>
      </c>
    </row>
    <row r="65" spans="1:8" ht="26.25" customHeight="1" x14ac:dyDescent="0.4">
      <c r="A65" s="78" t="s">
        <v>93</v>
      </c>
      <c r="B65" s="79">
        <v>1</v>
      </c>
      <c r="C65" s="494"/>
      <c r="D65" s="497"/>
      <c r="E65" s="139">
        <v>2</v>
      </c>
      <c r="F65" s="91">
        <v>7134590</v>
      </c>
      <c r="G65" s="229">
        <f>IF(ISBLANK(F65),"-",(F65/$D$50*$D$47*$B$68)*($B$57/$D$64))</f>
        <v>156.44929265724147</v>
      </c>
      <c r="H65" s="145">
        <f t="shared" si="0"/>
        <v>0.97780807910775924</v>
      </c>
    </row>
    <row r="66" spans="1:8" ht="26.25" customHeight="1" x14ac:dyDescent="0.4">
      <c r="A66" s="78" t="s">
        <v>94</v>
      </c>
      <c r="B66" s="79">
        <v>1</v>
      </c>
      <c r="C66" s="494"/>
      <c r="D66" s="497"/>
      <c r="E66" s="139">
        <v>3</v>
      </c>
      <c r="F66" s="91">
        <v>7135020</v>
      </c>
      <c r="G66" s="229">
        <f>IF(ISBLANK(F66),"-",(F66/$D$50*$D$47*$B$68)*($B$57/$D$64))</f>
        <v>156.45872181797006</v>
      </c>
      <c r="H66" s="145">
        <f t="shared" si="0"/>
        <v>0.97786701136231291</v>
      </c>
    </row>
    <row r="67" spans="1:8" ht="27" customHeight="1" x14ac:dyDescent="0.4">
      <c r="A67" s="78" t="s">
        <v>95</v>
      </c>
      <c r="B67" s="79">
        <v>1</v>
      </c>
      <c r="C67" s="495"/>
      <c r="D67" s="498"/>
      <c r="E67" s="142">
        <v>4</v>
      </c>
      <c r="F67" s="143"/>
      <c r="G67" s="230" t="str">
        <f>IF(ISBLANK(F67),"-",(F67/$D$50*$D$47*$B$68)*($B$57/$D$64))</f>
        <v>-</v>
      </c>
      <c r="H67" s="146" t="str">
        <f t="shared" si="0"/>
        <v>-</v>
      </c>
    </row>
    <row r="68" spans="1:8" ht="26.25" customHeight="1" x14ac:dyDescent="0.4">
      <c r="A68" s="78" t="s">
        <v>96</v>
      </c>
      <c r="B68" s="147">
        <f>(B67/B66)*(B65/B64)*(B63/B62)*(B61/B60)*B59</f>
        <v>5000</v>
      </c>
      <c r="C68" s="493" t="s">
        <v>97</v>
      </c>
      <c r="D68" s="496">
        <v>1048.82</v>
      </c>
      <c r="E68" s="136">
        <v>1</v>
      </c>
      <c r="F68" s="137">
        <v>7325685</v>
      </c>
      <c r="G68" s="228">
        <f>IF(ISBLANK(F68),"-",(F68/$D$50*$D$47*$B$68)*($B$57/$D$68))</f>
        <v>159.86620788383786</v>
      </c>
      <c r="H68" s="140">
        <f t="shared" si="0"/>
        <v>0.99916379927398657</v>
      </c>
    </row>
    <row r="69" spans="1:8" ht="27" customHeight="1" x14ac:dyDescent="0.4">
      <c r="A69" s="126" t="s">
        <v>98</v>
      </c>
      <c r="B69" s="148">
        <f>(D47*B68)/B56*B57</f>
        <v>1040.9184999999998</v>
      </c>
      <c r="C69" s="494"/>
      <c r="D69" s="497"/>
      <c r="E69" s="139">
        <v>2</v>
      </c>
      <c r="F69" s="91">
        <v>7343448</v>
      </c>
      <c r="G69" s="229">
        <f>IF(ISBLANK(F69),"-",(F69/$D$50*$D$47*$B$68)*($B$57/$D$68))</f>
        <v>160.25384445989053</v>
      </c>
      <c r="H69" s="140">
        <f t="shared" si="0"/>
        <v>1.0015865278743159</v>
      </c>
    </row>
    <row r="70" spans="1:8" ht="26.25" customHeight="1" x14ac:dyDescent="0.4">
      <c r="A70" s="506" t="s">
        <v>71</v>
      </c>
      <c r="B70" s="507"/>
      <c r="C70" s="494"/>
      <c r="D70" s="497"/>
      <c r="E70" s="139">
        <v>3</v>
      </c>
      <c r="F70" s="91">
        <v>7347059</v>
      </c>
      <c r="G70" s="229">
        <f>IF(ISBLANK(F70),"-",(F70/$D$50*$D$47*$B$68)*($B$57/$D$68))</f>
        <v>160.33264622063624</v>
      </c>
      <c r="H70" s="140">
        <f t="shared" si="0"/>
        <v>1.0020790388789764</v>
      </c>
    </row>
    <row r="71" spans="1:8" ht="27" customHeight="1" x14ac:dyDescent="0.4">
      <c r="A71" s="508"/>
      <c r="B71" s="509"/>
      <c r="C71" s="505"/>
      <c r="D71" s="498"/>
      <c r="E71" s="142">
        <v>4</v>
      </c>
      <c r="F71" s="143"/>
      <c r="G71" s="230" t="str">
        <f>IF(ISBLANK(F71),"-",(F71/$D$50*$D$47*$B$68)*($B$57/$D$68))</f>
        <v>-</v>
      </c>
      <c r="H71" s="149" t="str">
        <f t="shared" si="0"/>
        <v>-</v>
      </c>
    </row>
    <row r="72" spans="1:8" ht="26.25" customHeight="1" x14ac:dyDescent="0.4">
      <c r="A72" s="150"/>
      <c r="B72" s="150"/>
      <c r="C72" s="150"/>
      <c r="D72" s="150"/>
      <c r="E72" s="150"/>
      <c r="F72" s="151"/>
      <c r="G72" s="152" t="s">
        <v>64</v>
      </c>
      <c r="H72" s="153">
        <f>AVERAGE(H60:H71)</f>
        <v>0.99404084145860638</v>
      </c>
    </row>
    <row r="73" spans="1:8" ht="26.25" customHeight="1" x14ac:dyDescent="0.4">
      <c r="C73" s="150"/>
      <c r="D73" s="150"/>
      <c r="E73" s="150"/>
      <c r="F73" s="151"/>
      <c r="G73" s="154" t="s">
        <v>77</v>
      </c>
      <c r="H73" s="231">
        <f>STDEV(H60:H71)/H72</f>
        <v>1.2330552155729894E-2</v>
      </c>
    </row>
    <row r="74" spans="1:8" ht="27" customHeight="1" x14ac:dyDescent="0.4">
      <c r="A74" s="150"/>
      <c r="B74" s="150"/>
      <c r="C74" s="151"/>
      <c r="D74" s="151"/>
      <c r="E74" s="155"/>
      <c r="F74" s="151"/>
      <c r="G74" s="156" t="s">
        <v>20</v>
      </c>
      <c r="H74" s="157">
        <f>COUNT(H60:H71)</f>
        <v>9</v>
      </c>
    </row>
    <row r="76" spans="1:8" ht="26.25" customHeight="1" x14ac:dyDescent="0.4">
      <c r="A76" s="62" t="s">
        <v>99</v>
      </c>
      <c r="B76" s="158" t="s">
        <v>100</v>
      </c>
      <c r="C76" s="501" t="str">
        <f>B20</f>
        <v>Trimethoprim</v>
      </c>
      <c r="D76" s="501"/>
      <c r="E76" s="159" t="s">
        <v>101</v>
      </c>
      <c r="F76" s="159"/>
      <c r="G76" s="160">
        <f>H72</f>
        <v>0.99404084145860638</v>
      </c>
      <c r="H76" s="161"/>
    </row>
    <row r="77" spans="1:8" ht="18.75" x14ac:dyDescent="0.3">
      <c r="A77" s="61" t="s">
        <v>102</v>
      </c>
      <c r="B77" s="61" t="s">
        <v>103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487" t="str">
        <f>B26</f>
        <v>Trimethoprim</v>
      </c>
      <c r="C79" s="487"/>
    </row>
    <row r="80" spans="1:8" ht="26.25" customHeight="1" x14ac:dyDescent="0.4">
      <c r="A80" s="63" t="s">
        <v>41</v>
      </c>
      <c r="B80" s="487" t="str">
        <f>B27</f>
        <v>T7 2</v>
      </c>
      <c r="C80" s="487"/>
    </row>
    <row r="81" spans="1:12" ht="27" customHeight="1" x14ac:dyDescent="0.4">
      <c r="A81" s="63" t="s">
        <v>6</v>
      </c>
      <c r="B81" s="162">
        <f>B28</f>
        <v>99.66</v>
      </c>
    </row>
    <row r="82" spans="1:12" s="14" customFormat="1" ht="27" customHeight="1" x14ac:dyDescent="0.4">
      <c r="A82" s="63" t="s">
        <v>42</v>
      </c>
      <c r="B82" s="65">
        <v>0</v>
      </c>
      <c r="C82" s="478" t="s">
        <v>43</v>
      </c>
      <c r="D82" s="479"/>
      <c r="E82" s="479"/>
      <c r="F82" s="479"/>
      <c r="G82" s="480"/>
      <c r="I82" s="66"/>
      <c r="J82" s="66"/>
      <c r="K82" s="66"/>
      <c r="L82" s="66"/>
    </row>
    <row r="83" spans="1:12" s="14" customFormat="1" ht="19.5" customHeight="1" x14ac:dyDescent="0.3">
      <c r="A83" s="63" t="s">
        <v>44</v>
      </c>
      <c r="B83" s="67">
        <f>B81-B82</f>
        <v>99.66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45</v>
      </c>
      <c r="B84" s="70">
        <v>1</v>
      </c>
      <c r="C84" s="481" t="s">
        <v>104</v>
      </c>
      <c r="D84" s="482"/>
      <c r="E84" s="482"/>
      <c r="F84" s="482"/>
      <c r="G84" s="482"/>
      <c r="H84" s="483"/>
      <c r="I84" s="66"/>
      <c r="J84" s="66"/>
      <c r="K84" s="66"/>
      <c r="L84" s="66"/>
    </row>
    <row r="85" spans="1:12" s="14" customFormat="1" ht="27" customHeight="1" x14ac:dyDescent="0.4">
      <c r="A85" s="63" t="s">
        <v>47</v>
      </c>
      <c r="B85" s="70">
        <v>1</v>
      </c>
      <c r="C85" s="481" t="s">
        <v>105</v>
      </c>
      <c r="D85" s="482"/>
      <c r="E85" s="482"/>
      <c r="F85" s="482"/>
      <c r="G85" s="482"/>
      <c r="H85" s="483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49</v>
      </c>
      <c r="B87" s="75">
        <f>B84/B85</f>
        <v>1</v>
      </c>
      <c r="C87" s="53" t="s">
        <v>50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51</v>
      </c>
      <c r="B89" s="77">
        <v>50</v>
      </c>
      <c r="D89" s="163" t="s">
        <v>52</v>
      </c>
      <c r="E89" s="164"/>
      <c r="F89" s="484" t="s">
        <v>53</v>
      </c>
      <c r="G89" s="486"/>
    </row>
    <row r="90" spans="1:12" ht="27" customHeight="1" x14ac:dyDescent="0.4">
      <c r="A90" s="78" t="s">
        <v>54</v>
      </c>
      <c r="B90" s="79">
        <v>10</v>
      </c>
      <c r="C90" s="165" t="s">
        <v>55</v>
      </c>
      <c r="D90" s="81" t="s">
        <v>56</v>
      </c>
      <c r="E90" s="82" t="s">
        <v>57</v>
      </c>
      <c r="F90" s="81" t="s">
        <v>56</v>
      </c>
      <c r="G90" s="166" t="s">
        <v>57</v>
      </c>
      <c r="I90" s="84" t="s">
        <v>58</v>
      </c>
    </row>
    <row r="91" spans="1:12" ht="26.25" customHeight="1" x14ac:dyDescent="0.4">
      <c r="A91" s="78" t="s">
        <v>59</v>
      </c>
      <c r="B91" s="79">
        <v>50</v>
      </c>
      <c r="C91" s="167">
        <v>1</v>
      </c>
      <c r="D91" s="464">
        <v>8524431</v>
      </c>
      <c r="E91" s="87">
        <f>IF(ISBLANK(D91),"-",$D$101/$D$98*D91)</f>
        <v>8037127.5020057615</v>
      </c>
      <c r="F91" s="464">
        <v>8571714</v>
      </c>
      <c r="G91" s="88">
        <f>IF(ISBLANK(F91),"-",$D$101/$F$98*F91)</f>
        <v>8116024.774395721</v>
      </c>
      <c r="I91" s="89"/>
    </row>
    <row r="92" spans="1:12" ht="26.25" customHeight="1" x14ac:dyDescent="0.4">
      <c r="A92" s="78" t="s">
        <v>60</v>
      </c>
      <c r="B92" s="79">
        <v>1</v>
      </c>
      <c r="C92" s="151">
        <v>2</v>
      </c>
      <c r="D92" s="465">
        <v>8544259</v>
      </c>
      <c r="E92" s="92">
        <f>IF(ISBLANK(D92),"-",$D$101/$D$98*D92)</f>
        <v>8055822.0241515534</v>
      </c>
      <c r="F92" s="465">
        <v>8562854</v>
      </c>
      <c r="G92" s="93">
        <f>IF(ISBLANK(F92),"-",$D$101/$F$98*F92)</f>
        <v>8107635.7894737851</v>
      </c>
      <c r="I92" s="488">
        <f>ABS((F96/D96*D95)-F95)/D95</f>
        <v>8.5964947677992874E-3</v>
      </c>
    </row>
    <row r="93" spans="1:12" ht="26.25" customHeight="1" x14ac:dyDescent="0.4">
      <c r="A93" s="78" t="s">
        <v>61</v>
      </c>
      <c r="B93" s="79">
        <v>1</v>
      </c>
      <c r="C93" s="151">
        <v>3</v>
      </c>
      <c r="D93" s="465">
        <v>8546643</v>
      </c>
      <c r="E93" s="92">
        <f>IF(ISBLANK(D93),"-",$D$101/$D$98*D93)</f>
        <v>8058069.7415610533</v>
      </c>
      <c r="F93" s="465">
        <v>8592657</v>
      </c>
      <c r="G93" s="93">
        <f>IF(ISBLANK(F93),"-",$D$101/$F$98*F93)</f>
        <v>8135854.4032016015</v>
      </c>
      <c r="I93" s="488"/>
    </row>
    <row r="94" spans="1:12" ht="27" customHeight="1" x14ac:dyDescent="0.4">
      <c r="A94" s="78" t="s">
        <v>62</v>
      </c>
      <c r="B94" s="79">
        <v>1</v>
      </c>
      <c r="C94" s="168">
        <v>4</v>
      </c>
      <c r="D94" s="466"/>
      <c r="E94" s="97" t="str">
        <f>IF(ISBLANK(D94),"-",$D$101/$D$98*D94)</f>
        <v>-</v>
      </c>
      <c r="F94" s="466"/>
      <c r="G94" s="98" t="str">
        <f>IF(ISBLANK(F94),"-",$D$101/$F$98*F94)</f>
        <v>-</v>
      </c>
      <c r="I94" s="99"/>
    </row>
    <row r="95" spans="1:12" ht="27" customHeight="1" x14ac:dyDescent="0.4">
      <c r="A95" s="78" t="s">
        <v>63</v>
      </c>
      <c r="B95" s="79">
        <v>1</v>
      </c>
      <c r="C95" s="169" t="s">
        <v>64</v>
      </c>
      <c r="D95" s="170">
        <f>AVERAGE(D91:D94)</f>
        <v>8538444.333333334</v>
      </c>
      <c r="E95" s="102">
        <f>AVERAGE(E91:E94)</f>
        <v>8050339.7559061227</v>
      </c>
      <c r="F95" s="171">
        <f>AVERAGE(F91:F94)</f>
        <v>8575741.666666666</v>
      </c>
      <c r="G95" s="172">
        <f>AVERAGE(G91:G94)</f>
        <v>8119838.3223570362</v>
      </c>
    </row>
    <row r="96" spans="1:12" ht="26.25" customHeight="1" x14ac:dyDescent="0.4">
      <c r="A96" s="78" t="s">
        <v>65</v>
      </c>
      <c r="B96" s="64">
        <v>1</v>
      </c>
      <c r="C96" s="173" t="s">
        <v>106</v>
      </c>
      <c r="D96" s="174">
        <v>9.4600000000000009</v>
      </c>
      <c r="E96" s="94"/>
      <c r="F96" s="106">
        <v>9.42</v>
      </c>
    </row>
    <row r="97" spans="1:10" ht="26.25" customHeight="1" x14ac:dyDescent="0.4">
      <c r="A97" s="78" t="s">
        <v>67</v>
      </c>
      <c r="B97" s="64">
        <v>1</v>
      </c>
      <c r="C97" s="175" t="s">
        <v>107</v>
      </c>
      <c r="D97" s="176">
        <f>D96*$B$87</f>
        <v>9.4600000000000009</v>
      </c>
      <c r="E97" s="109"/>
      <c r="F97" s="108">
        <f>F96*$B$87</f>
        <v>9.42</v>
      </c>
    </row>
    <row r="98" spans="1:10" ht="19.5" customHeight="1" x14ac:dyDescent="0.3">
      <c r="A98" s="78" t="s">
        <v>69</v>
      </c>
      <c r="B98" s="177">
        <f>(B97/B96)*(B95/B94)*(B93/B92)*(B91/B90)*B89</f>
        <v>250</v>
      </c>
      <c r="C98" s="175" t="s">
        <v>108</v>
      </c>
      <c r="D98" s="178">
        <f>D97*$B$83/100</f>
        <v>9.427836000000001</v>
      </c>
      <c r="E98" s="112"/>
      <c r="F98" s="111">
        <f>F97*$B$83/100</f>
        <v>9.3879719999999995</v>
      </c>
    </row>
    <row r="99" spans="1:10" ht="19.5" customHeight="1" x14ac:dyDescent="0.3">
      <c r="A99" s="489" t="s">
        <v>71</v>
      </c>
      <c r="B99" s="503"/>
      <c r="C99" s="175" t="s">
        <v>109</v>
      </c>
      <c r="D99" s="179">
        <f>D98/$B$98</f>
        <v>3.7711344000000001E-2</v>
      </c>
      <c r="E99" s="112"/>
      <c r="F99" s="115">
        <f>F98/$B$98</f>
        <v>3.7551887999999999E-2</v>
      </c>
      <c r="G99" s="180"/>
      <c r="H99" s="104"/>
    </row>
    <row r="100" spans="1:10" ht="19.5" customHeight="1" x14ac:dyDescent="0.3">
      <c r="A100" s="491"/>
      <c r="B100" s="504"/>
      <c r="C100" s="175" t="s">
        <v>73</v>
      </c>
      <c r="D100" s="181">
        <f>$B$56/$B$116</f>
        <v>3.5555555555555556E-2</v>
      </c>
      <c r="F100" s="120"/>
      <c r="G100" s="182"/>
      <c r="H100" s="104"/>
    </row>
    <row r="101" spans="1:10" ht="18.75" x14ac:dyDescent="0.3">
      <c r="C101" s="175" t="s">
        <v>74</v>
      </c>
      <c r="D101" s="176">
        <f>D100*$B$98</f>
        <v>8.8888888888888893</v>
      </c>
      <c r="F101" s="120"/>
      <c r="G101" s="180"/>
      <c r="H101" s="104"/>
    </row>
    <row r="102" spans="1:10" ht="19.5" customHeight="1" x14ac:dyDescent="0.3">
      <c r="C102" s="183" t="s">
        <v>75</v>
      </c>
      <c r="D102" s="184">
        <f>D101/B34</f>
        <v>8.8888888888888893</v>
      </c>
      <c r="F102" s="124"/>
      <c r="G102" s="180"/>
      <c r="H102" s="104"/>
      <c r="J102" s="185"/>
    </row>
    <row r="103" spans="1:10" ht="18.75" x14ac:dyDescent="0.3">
      <c r="C103" s="186" t="s">
        <v>110</v>
      </c>
      <c r="D103" s="187">
        <f>AVERAGE(E91:E94,G91:G94)</f>
        <v>8085089.039131579</v>
      </c>
      <c r="F103" s="124"/>
      <c r="G103" s="188"/>
      <c r="H103" s="104"/>
      <c r="J103" s="189"/>
    </row>
    <row r="104" spans="1:10" ht="18.75" x14ac:dyDescent="0.3">
      <c r="C104" s="154" t="s">
        <v>77</v>
      </c>
      <c r="D104" s="190">
        <f>STDEV(E91:E94,G91:G94)/D103</f>
        <v>4.9255026787247847E-3</v>
      </c>
      <c r="F104" s="124"/>
      <c r="G104" s="180"/>
      <c r="H104" s="104"/>
      <c r="J104" s="189"/>
    </row>
    <row r="105" spans="1:10" ht="19.5" customHeight="1" x14ac:dyDescent="0.3">
      <c r="C105" s="156" t="s">
        <v>20</v>
      </c>
      <c r="D105" s="191">
        <f>COUNT(E91:E94,G91:G94)</f>
        <v>6</v>
      </c>
      <c r="F105" s="124"/>
      <c r="G105" s="180"/>
      <c r="H105" s="104"/>
      <c r="J105" s="189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6.25" customHeight="1" x14ac:dyDescent="0.4">
      <c r="A107" s="76" t="s">
        <v>111</v>
      </c>
      <c r="B107" s="77">
        <v>900</v>
      </c>
      <c r="C107" s="192" t="s">
        <v>112</v>
      </c>
      <c r="D107" s="193" t="s">
        <v>56</v>
      </c>
      <c r="E107" s="194" t="s">
        <v>113</v>
      </c>
      <c r="F107" s="195" t="s">
        <v>114</v>
      </c>
    </row>
    <row r="108" spans="1:10" ht="26.25" customHeight="1" x14ac:dyDescent="0.4">
      <c r="A108" s="78" t="s">
        <v>115</v>
      </c>
      <c r="B108" s="79">
        <v>5</v>
      </c>
      <c r="C108" s="196">
        <v>1</v>
      </c>
      <c r="D108" s="197">
        <v>7138210</v>
      </c>
      <c r="E108" s="232">
        <f>IF(ISBLANK(D108),"-",D108/$D$103*$D$100*$B$116)</f>
        <v>141.26172197636981</v>
      </c>
      <c r="F108" s="198">
        <f>IF(ISBLANK(D108), "-", E108/$B$56)</f>
        <v>0.88288576235231131</v>
      </c>
    </row>
    <row r="109" spans="1:10" ht="26.25" customHeight="1" x14ac:dyDescent="0.4">
      <c r="A109" s="78" t="s">
        <v>88</v>
      </c>
      <c r="B109" s="79">
        <v>25</v>
      </c>
      <c r="C109" s="196">
        <v>2</v>
      </c>
      <c r="D109" s="197">
        <v>7139783</v>
      </c>
      <c r="E109" s="233">
        <f t="shared" ref="E108:E113" si="1">IF(ISBLANK(D109),"-",D109/$D$103*$D$100*$B$116)</f>
        <v>141.29285088525157</v>
      </c>
      <c r="F109" s="199">
        <f t="shared" ref="F108:F113" si="2">IF(ISBLANK(D109), "-", E109/$B$56)</f>
        <v>0.88308031803282228</v>
      </c>
    </row>
    <row r="110" spans="1:10" ht="26.25" customHeight="1" x14ac:dyDescent="0.4">
      <c r="A110" s="78" t="s">
        <v>89</v>
      </c>
      <c r="B110" s="79">
        <v>1</v>
      </c>
      <c r="C110" s="196">
        <v>3</v>
      </c>
      <c r="D110" s="197">
        <v>7159612</v>
      </c>
      <c r="E110" s="233">
        <f t="shared" si="1"/>
        <v>141.68525720071011</v>
      </c>
      <c r="F110" s="199">
        <f>IF(ISBLANK(D110), "-", E110/$B$56)</f>
        <v>0.88553285750443822</v>
      </c>
    </row>
    <row r="111" spans="1:10" ht="26.25" customHeight="1" x14ac:dyDescent="0.4">
      <c r="A111" s="78" t="s">
        <v>90</v>
      </c>
      <c r="B111" s="79">
        <v>1</v>
      </c>
      <c r="C111" s="196">
        <v>4</v>
      </c>
      <c r="D111" s="197">
        <v>7146459</v>
      </c>
      <c r="E111" s="233">
        <f t="shared" si="1"/>
        <v>141.42496569497476</v>
      </c>
      <c r="F111" s="199">
        <f t="shared" si="2"/>
        <v>0.88390603559359227</v>
      </c>
    </row>
    <row r="112" spans="1:10" ht="26.25" customHeight="1" x14ac:dyDescent="0.4">
      <c r="A112" s="78" t="s">
        <v>91</v>
      </c>
      <c r="B112" s="79">
        <v>1</v>
      </c>
      <c r="C112" s="196">
        <v>5</v>
      </c>
      <c r="D112" s="197">
        <v>7141899</v>
      </c>
      <c r="E112" s="233">
        <f t="shared" si="1"/>
        <v>141.3347255013951</v>
      </c>
      <c r="F112" s="199">
        <f>IF(ISBLANK(D112), "-", E112/$B$56)</f>
        <v>0.88334203438371939</v>
      </c>
    </row>
    <row r="113" spans="1:10" ht="26.25" customHeight="1" x14ac:dyDescent="0.4">
      <c r="A113" s="78" t="s">
        <v>93</v>
      </c>
      <c r="B113" s="79">
        <v>1</v>
      </c>
      <c r="C113" s="200">
        <v>6</v>
      </c>
      <c r="D113" s="201">
        <v>7151044</v>
      </c>
      <c r="E113" s="234">
        <f t="shared" si="1"/>
        <v>141.5157006264578</v>
      </c>
      <c r="F113" s="202">
        <f>IF(ISBLANK(D113), "-", E113/$B$56)</f>
        <v>0.88447312891536123</v>
      </c>
    </row>
    <row r="114" spans="1:10" ht="26.25" customHeight="1" x14ac:dyDescent="0.4">
      <c r="A114" s="78" t="s">
        <v>94</v>
      </c>
      <c r="B114" s="79">
        <v>1</v>
      </c>
      <c r="C114" s="196"/>
      <c r="D114" s="151"/>
      <c r="E114" s="52"/>
      <c r="F114" s="203"/>
    </row>
    <row r="115" spans="1:10" ht="26.25" customHeight="1" x14ac:dyDescent="0.4">
      <c r="A115" s="78" t="s">
        <v>95</v>
      </c>
      <c r="B115" s="79">
        <v>1</v>
      </c>
      <c r="C115" s="196"/>
      <c r="D115" s="204"/>
      <c r="E115" s="205" t="s">
        <v>64</v>
      </c>
      <c r="F115" s="206">
        <f>AVERAGE(F108:F113)</f>
        <v>0.88387002279704074</v>
      </c>
    </row>
    <row r="116" spans="1:10" ht="27" customHeight="1" x14ac:dyDescent="0.4">
      <c r="A116" s="78" t="s">
        <v>96</v>
      </c>
      <c r="B116" s="110">
        <f>(B115/B114)*(B113/B112)*(B111/B110)*(B109/B108)*B107</f>
        <v>4500</v>
      </c>
      <c r="C116" s="207"/>
      <c r="D116" s="208"/>
      <c r="E116" s="169" t="s">
        <v>77</v>
      </c>
      <c r="F116" s="209">
        <f>STDEV(F108:F113)/F115</f>
        <v>1.1315269038029304E-3</v>
      </c>
      <c r="I116" s="52"/>
    </row>
    <row r="117" spans="1:10" ht="27" customHeight="1" x14ac:dyDescent="0.4">
      <c r="A117" s="489" t="s">
        <v>71</v>
      </c>
      <c r="B117" s="490"/>
      <c r="C117" s="210"/>
      <c r="D117" s="211"/>
      <c r="E117" s="212" t="s">
        <v>20</v>
      </c>
      <c r="F117" s="213">
        <f>COUNT(F108:F113)</f>
        <v>6</v>
      </c>
      <c r="I117" s="52"/>
      <c r="J117" s="189"/>
    </row>
    <row r="118" spans="1:10" ht="19.5" customHeight="1" x14ac:dyDescent="0.3">
      <c r="A118" s="491"/>
      <c r="B118" s="492"/>
      <c r="C118" s="52"/>
      <c r="D118" s="52"/>
      <c r="E118" s="52"/>
      <c r="F118" s="151"/>
      <c r="G118" s="52"/>
      <c r="H118" s="52"/>
      <c r="I118" s="52"/>
    </row>
    <row r="119" spans="1:10" ht="18.75" x14ac:dyDescent="0.3">
      <c r="A119" s="222"/>
      <c r="B119" s="74"/>
      <c r="C119" s="52"/>
      <c r="D119" s="52"/>
      <c r="E119" s="52"/>
      <c r="F119" s="151"/>
      <c r="G119" s="52"/>
      <c r="H119" s="52"/>
      <c r="I119" s="52"/>
    </row>
    <row r="120" spans="1:10" ht="26.25" customHeight="1" x14ac:dyDescent="0.4">
      <c r="A120" s="62" t="s">
        <v>99</v>
      </c>
      <c r="B120" s="158" t="s">
        <v>116</v>
      </c>
      <c r="C120" s="501" t="str">
        <f>B20</f>
        <v>Trimethoprim</v>
      </c>
      <c r="D120" s="501"/>
      <c r="E120" s="159" t="s">
        <v>117</v>
      </c>
      <c r="F120" s="159"/>
      <c r="G120" s="160">
        <f>F115</f>
        <v>0.88387002279704074</v>
      </c>
      <c r="H120" s="52"/>
      <c r="I120" s="52"/>
    </row>
    <row r="121" spans="1:10" ht="19.5" customHeight="1" x14ac:dyDescent="0.3">
      <c r="A121" s="214"/>
      <c r="B121" s="214"/>
      <c r="C121" s="215"/>
      <c r="D121" s="215"/>
      <c r="E121" s="215"/>
      <c r="F121" s="215"/>
      <c r="G121" s="215"/>
      <c r="H121" s="215"/>
    </row>
    <row r="122" spans="1:10" ht="18.75" x14ac:dyDescent="0.3">
      <c r="B122" s="502" t="s">
        <v>26</v>
      </c>
      <c r="C122" s="502"/>
      <c r="E122" s="165" t="s">
        <v>27</v>
      </c>
      <c r="F122" s="216"/>
      <c r="G122" s="502" t="s">
        <v>28</v>
      </c>
      <c r="H122" s="502"/>
    </row>
    <row r="123" spans="1:10" ht="69.95" customHeight="1" x14ac:dyDescent="0.3">
      <c r="A123" s="217" t="s">
        <v>29</v>
      </c>
      <c r="B123" s="218" t="s">
        <v>132</v>
      </c>
      <c r="C123" s="218"/>
      <c r="E123" s="518">
        <v>42316</v>
      </c>
      <c r="F123" s="52"/>
      <c r="G123" s="219"/>
      <c r="H123" s="219"/>
    </row>
    <row r="124" spans="1:10" ht="69.95" customHeight="1" x14ac:dyDescent="0.3">
      <c r="A124" s="217" t="s">
        <v>30</v>
      </c>
      <c r="B124" s="220"/>
      <c r="C124" s="220"/>
      <c r="E124" s="220"/>
      <c r="F124" s="52"/>
      <c r="G124" s="221"/>
      <c r="H124" s="221"/>
    </row>
    <row r="125" spans="1:10" ht="18.75" x14ac:dyDescent="0.3">
      <c r="A125" s="150"/>
      <c r="B125" s="150"/>
      <c r="C125" s="151"/>
      <c r="D125" s="151"/>
      <c r="E125" s="151"/>
      <c r="F125" s="155"/>
      <c r="G125" s="151"/>
      <c r="H125" s="151"/>
      <c r="I125" s="52"/>
    </row>
    <row r="126" spans="1:10" ht="18.75" x14ac:dyDescent="0.3">
      <c r="A126" s="150"/>
      <c r="B126" s="150"/>
      <c r="C126" s="151"/>
      <c r="D126" s="151"/>
      <c r="E126" s="151"/>
      <c r="F126" s="155"/>
      <c r="G126" s="151"/>
      <c r="H126" s="151"/>
      <c r="I126" s="52"/>
    </row>
    <row r="127" spans="1:10" ht="18.75" x14ac:dyDescent="0.3">
      <c r="A127" s="150"/>
      <c r="B127" s="150"/>
      <c r="C127" s="151"/>
      <c r="D127" s="151"/>
      <c r="E127" s="151"/>
      <c r="F127" s="155"/>
      <c r="G127" s="151"/>
      <c r="H127" s="151"/>
      <c r="I127" s="52"/>
    </row>
    <row r="128" spans="1:10" ht="18.75" x14ac:dyDescent="0.3">
      <c r="A128" s="150"/>
      <c r="B128" s="150"/>
      <c r="C128" s="151"/>
      <c r="D128" s="151"/>
      <c r="E128" s="151"/>
      <c r="F128" s="155"/>
      <c r="G128" s="151"/>
      <c r="H128" s="151"/>
      <c r="I128" s="52"/>
    </row>
    <row r="129" spans="1:9" ht="18.75" x14ac:dyDescent="0.3">
      <c r="A129" s="150"/>
      <c r="B129" s="150"/>
      <c r="C129" s="151"/>
      <c r="D129" s="151"/>
      <c r="E129" s="151"/>
      <c r="F129" s="155"/>
      <c r="G129" s="151"/>
      <c r="H129" s="151"/>
      <c r="I129" s="52"/>
    </row>
    <row r="130" spans="1:9" ht="18.75" x14ac:dyDescent="0.3">
      <c r="A130" s="150"/>
      <c r="B130" s="150"/>
      <c r="C130" s="151"/>
      <c r="D130" s="151"/>
      <c r="E130" s="151"/>
      <c r="F130" s="155"/>
      <c r="G130" s="151"/>
      <c r="H130" s="151"/>
      <c r="I130" s="52"/>
    </row>
    <row r="131" spans="1:9" ht="18.75" x14ac:dyDescent="0.3">
      <c r="A131" s="150"/>
      <c r="B131" s="150"/>
      <c r="C131" s="151"/>
      <c r="D131" s="151"/>
      <c r="E131" s="151"/>
      <c r="F131" s="155"/>
      <c r="G131" s="151"/>
      <c r="H131" s="151"/>
      <c r="I131" s="52"/>
    </row>
    <row r="132" spans="1:9" ht="18.75" x14ac:dyDescent="0.3">
      <c r="A132" s="150"/>
      <c r="B132" s="150"/>
      <c r="C132" s="151"/>
      <c r="D132" s="151"/>
      <c r="E132" s="151"/>
      <c r="F132" s="155"/>
      <c r="G132" s="151"/>
      <c r="H132" s="151"/>
      <c r="I132" s="52"/>
    </row>
    <row r="133" spans="1:9" ht="18.75" x14ac:dyDescent="0.3">
      <c r="A133" s="150"/>
      <c r="B133" s="150"/>
      <c r="C133" s="151"/>
      <c r="D133" s="151"/>
      <c r="E133" s="151"/>
      <c r="F133" s="155"/>
      <c r="G133" s="151"/>
      <c r="H133" s="151"/>
      <c r="I133" s="52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36" priority="1" operator="greaterThan">
      <formula>0.02</formula>
    </cfRule>
  </conditionalFormatting>
  <conditionalFormatting sqref="D51">
    <cfRule type="cellIs" dxfId="35" priority="2" operator="greaterThan">
      <formula>0.02</formula>
    </cfRule>
  </conditionalFormatting>
  <conditionalFormatting sqref="H73">
    <cfRule type="cellIs" dxfId="34" priority="3" operator="greaterThan">
      <formula>0.02</formula>
    </cfRule>
  </conditionalFormatting>
  <conditionalFormatting sqref="D104">
    <cfRule type="cellIs" dxfId="33" priority="4" operator="greaterThan">
      <formula>0.02</formula>
    </cfRule>
  </conditionalFormatting>
  <conditionalFormatting sqref="I39">
    <cfRule type="cellIs" dxfId="32" priority="5" operator="lessThanOrEqual">
      <formula>0.02</formula>
    </cfRule>
  </conditionalFormatting>
  <conditionalFormatting sqref="I39">
    <cfRule type="cellIs" dxfId="31" priority="6" operator="greaterThan">
      <formula>0.02</formula>
    </cfRule>
  </conditionalFormatting>
  <conditionalFormatting sqref="I92">
    <cfRule type="cellIs" dxfId="30" priority="7" operator="lessThanOrEqual">
      <formula>0.02</formula>
    </cfRule>
  </conditionalFormatting>
  <conditionalFormatting sqref="I92">
    <cfRule type="cellIs" dxfId="29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6" workbookViewId="0">
      <selection activeCell="E60" sqref="E60"/>
    </sheetView>
  </sheetViews>
  <sheetFormatPr defaultRowHeight="13.5" x14ac:dyDescent="0.25"/>
  <cols>
    <col min="1" max="1" width="27.5703125" style="4" customWidth="1"/>
    <col min="2" max="2" width="75.710937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9" t="s">
        <v>0</v>
      </c>
      <c r="B15" s="469"/>
      <c r="C15" s="469"/>
      <c r="D15" s="469"/>
      <c r="E15" s="46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41" t="s">
        <v>126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99.58</v>
      </c>
      <c r="C19" s="10"/>
      <c r="D19" s="10"/>
      <c r="E19" s="10"/>
    </row>
    <row r="20" spans="1:6" ht="16.5" customHeight="1" x14ac:dyDescent="0.3">
      <c r="A20" s="7" t="s">
        <v>8</v>
      </c>
      <c r="B20" s="12">
        <v>38.5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B20/50*10/50</f>
        <v>0.154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96617133</v>
      </c>
      <c r="C24" s="18">
        <v>8842.34</v>
      </c>
      <c r="D24" s="19">
        <v>1.03</v>
      </c>
      <c r="E24" s="20">
        <v>5.13</v>
      </c>
    </row>
    <row r="25" spans="1:6" ht="16.5" customHeight="1" x14ac:dyDescent="0.3">
      <c r="A25" s="17">
        <v>2</v>
      </c>
      <c r="B25" s="18">
        <v>96469057</v>
      </c>
      <c r="C25" s="18">
        <v>8838.5499999999993</v>
      </c>
      <c r="D25" s="19">
        <v>1.01</v>
      </c>
      <c r="E25" s="19">
        <v>5.13</v>
      </c>
    </row>
    <row r="26" spans="1:6" ht="16.5" customHeight="1" x14ac:dyDescent="0.3">
      <c r="A26" s="17">
        <v>3</v>
      </c>
      <c r="B26" s="18">
        <v>96599179</v>
      </c>
      <c r="C26" s="18">
        <v>8839.41</v>
      </c>
      <c r="D26" s="19">
        <v>1.04</v>
      </c>
      <c r="E26" s="19">
        <v>5.13</v>
      </c>
    </row>
    <row r="27" spans="1:6" ht="16.5" customHeight="1" x14ac:dyDescent="0.3">
      <c r="A27" s="17">
        <v>4</v>
      </c>
      <c r="B27" s="18">
        <v>96504240</v>
      </c>
      <c r="C27" s="18">
        <v>8839.58</v>
      </c>
      <c r="D27" s="19">
        <v>1.02</v>
      </c>
      <c r="E27" s="19">
        <v>5.13</v>
      </c>
    </row>
    <row r="28" spans="1:6" ht="16.5" customHeight="1" x14ac:dyDescent="0.3">
      <c r="A28" s="17">
        <v>5</v>
      </c>
      <c r="B28" s="18">
        <v>96713693</v>
      </c>
      <c r="C28" s="18">
        <v>8820.82</v>
      </c>
      <c r="D28" s="19">
        <v>1.03</v>
      </c>
      <c r="E28" s="19">
        <v>5.13</v>
      </c>
    </row>
    <row r="29" spans="1:6" ht="16.5" customHeight="1" x14ac:dyDescent="0.3">
      <c r="A29" s="17">
        <v>6</v>
      </c>
      <c r="B29" s="21">
        <v>96548910</v>
      </c>
      <c r="C29" s="21">
        <v>8864.27</v>
      </c>
      <c r="D29" s="22">
        <v>1.04</v>
      </c>
      <c r="E29" s="22">
        <v>5.13</v>
      </c>
    </row>
    <row r="30" spans="1:6" ht="16.5" customHeight="1" x14ac:dyDescent="0.3">
      <c r="A30" s="23" t="s">
        <v>18</v>
      </c>
      <c r="B30" s="24">
        <f>AVERAGE(B24:B29)</f>
        <v>96575368.666666672</v>
      </c>
      <c r="C30" s="25">
        <f>AVERAGE(C24:C29)</f>
        <v>8840.8283333333329</v>
      </c>
      <c r="D30" s="26">
        <f>AVERAGE(D24:D29)</f>
        <v>1.0283333333333333</v>
      </c>
      <c r="E30" s="26">
        <f>AVERAGE(E24:E29)</f>
        <v>5.13</v>
      </c>
    </row>
    <row r="31" spans="1:6" ht="16.5" customHeight="1" x14ac:dyDescent="0.3">
      <c r="A31" s="27" t="s">
        <v>19</v>
      </c>
      <c r="B31" s="28">
        <f>(STDEV(B24:B29)/B30)</f>
        <v>9.086877961882678E-4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96617133</v>
      </c>
      <c r="C45" s="18">
        <v>8842.34</v>
      </c>
      <c r="D45" s="19">
        <v>1.03</v>
      </c>
      <c r="E45" s="20">
        <v>5.13</v>
      </c>
    </row>
    <row r="46" spans="1:6" ht="16.5" customHeight="1" x14ac:dyDescent="0.3">
      <c r="A46" s="17">
        <v>2</v>
      </c>
      <c r="B46" s="18">
        <v>96469057</v>
      </c>
      <c r="C46" s="18">
        <v>8838.5499999999993</v>
      </c>
      <c r="D46" s="19">
        <v>1.01</v>
      </c>
      <c r="E46" s="19">
        <v>5.13</v>
      </c>
    </row>
    <row r="47" spans="1:6" ht="16.5" customHeight="1" x14ac:dyDescent="0.3">
      <c r="A47" s="17">
        <v>3</v>
      </c>
      <c r="B47" s="18">
        <v>96599179</v>
      </c>
      <c r="C47" s="18">
        <v>8839.41</v>
      </c>
      <c r="D47" s="19">
        <v>1.04</v>
      </c>
      <c r="E47" s="19">
        <v>5.13</v>
      </c>
    </row>
    <row r="48" spans="1:6" ht="16.5" customHeight="1" x14ac:dyDescent="0.3">
      <c r="A48" s="17">
        <v>4</v>
      </c>
      <c r="B48" s="18">
        <v>96504240</v>
      </c>
      <c r="C48" s="18">
        <v>8839.58</v>
      </c>
      <c r="D48" s="19">
        <v>1.02</v>
      </c>
      <c r="E48" s="19">
        <v>5.13</v>
      </c>
    </row>
    <row r="49" spans="1:7" ht="16.5" customHeight="1" x14ac:dyDescent="0.3">
      <c r="A49" s="17">
        <v>5</v>
      </c>
      <c r="B49" s="18">
        <v>96713693</v>
      </c>
      <c r="C49" s="18">
        <v>8820.82</v>
      </c>
      <c r="D49" s="19">
        <v>1.03</v>
      </c>
      <c r="E49" s="19">
        <v>5.13</v>
      </c>
    </row>
    <row r="50" spans="1:7" ht="16.5" customHeight="1" x14ac:dyDescent="0.3">
      <c r="A50" s="17">
        <v>6</v>
      </c>
      <c r="B50" s="21">
        <v>96548910</v>
      </c>
      <c r="C50" s="21">
        <v>8864.27</v>
      </c>
      <c r="D50" s="22">
        <v>1.04</v>
      </c>
      <c r="E50" s="22">
        <v>5.13</v>
      </c>
    </row>
    <row r="51" spans="1:7" ht="16.5" customHeight="1" x14ac:dyDescent="0.3">
      <c r="A51" s="23" t="s">
        <v>18</v>
      </c>
      <c r="B51" s="24">
        <f>AVERAGE(B45:B50)</f>
        <v>96575368.666666672</v>
      </c>
      <c r="C51" s="25">
        <f>AVERAGE(C45:C50)</f>
        <v>8840.8283333333329</v>
      </c>
      <c r="D51" s="26">
        <f>AVERAGE(D45:D50)</f>
        <v>1.0283333333333333</v>
      </c>
      <c r="E51" s="26">
        <f>AVERAGE(E45:E50)</f>
        <v>5.13</v>
      </c>
    </row>
    <row r="52" spans="1:7" ht="16.5" customHeight="1" x14ac:dyDescent="0.3">
      <c r="A52" s="27" t="s">
        <v>19</v>
      </c>
      <c r="B52" s="28">
        <f>(STDEV(B45:B50)/B51)</f>
        <v>9.086877961882678E-4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0" t="s">
        <v>26</v>
      </c>
      <c r="C59" s="47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132</v>
      </c>
      <c r="C60" s="48"/>
      <c r="E60" s="519">
        <v>42316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8" zoomScale="55" zoomScaleNormal="40" zoomScalePageLayoutView="55" workbookViewId="0">
      <selection activeCell="G121" sqref="G121"/>
    </sheetView>
  </sheetViews>
  <sheetFormatPr defaultColWidth="9.140625" defaultRowHeight="13.5" x14ac:dyDescent="0.25"/>
  <cols>
    <col min="1" max="1" width="55.42578125" style="2" customWidth="1"/>
    <col min="2" max="2" width="44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9" t="s">
        <v>31</v>
      </c>
      <c r="B1" s="499"/>
      <c r="C1" s="499"/>
      <c r="D1" s="499"/>
      <c r="E1" s="499"/>
      <c r="F1" s="499"/>
      <c r="G1" s="499"/>
      <c r="H1" s="499"/>
      <c r="I1" s="499"/>
    </row>
    <row r="2" spans="1:9" ht="18.75" customHeight="1" x14ac:dyDescent="0.25">
      <c r="A2" s="499"/>
      <c r="B2" s="499"/>
      <c r="C2" s="499"/>
      <c r="D2" s="499"/>
      <c r="E2" s="499"/>
      <c r="F2" s="499"/>
      <c r="G2" s="499"/>
      <c r="H2" s="499"/>
      <c r="I2" s="499"/>
    </row>
    <row r="3" spans="1:9" ht="18.75" customHeight="1" x14ac:dyDescent="0.25">
      <c r="A3" s="499"/>
      <c r="B3" s="499"/>
      <c r="C3" s="499"/>
      <c r="D3" s="499"/>
      <c r="E3" s="499"/>
      <c r="F3" s="499"/>
      <c r="G3" s="499"/>
      <c r="H3" s="499"/>
      <c r="I3" s="499"/>
    </row>
    <row r="4" spans="1:9" ht="18.75" customHeight="1" x14ac:dyDescent="0.25">
      <c r="A4" s="499"/>
      <c r="B4" s="499"/>
      <c r="C4" s="499"/>
      <c r="D4" s="499"/>
      <c r="E4" s="499"/>
      <c r="F4" s="499"/>
      <c r="G4" s="499"/>
      <c r="H4" s="499"/>
      <c r="I4" s="499"/>
    </row>
    <row r="5" spans="1:9" ht="18.75" customHeight="1" x14ac:dyDescent="0.25">
      <c r="A5" s="499"/>
      <c r="B5" s="499"/>
      <c r="C5" s="499"/>
      <c r="D5" s="499"/>
      <c r="E5" s="499"/>
      <c r="F5" s="499"/>
      <c r="G5" s="499"/>
      <c r="H5" s="499"/>
      <c r="I5" s="499"/>
    </row>
    <row r="6" spans="1:9" ht="18.75" customHeight="1" x14ac:dyDescent="0.25">
      <c r="A6" s="499"/>
      <c r="B6" s="499"/>
      <c r="C6" s="499"/>
      <c r="D6" s="499"/>
      <c r="E6" s="499"/>
      <c r="F6" s="499"/>
      <c r="G6" s="499"/>
      <c r="H6" s="499"/>
      <c r="I6" s="499"/>
    </row>
    <row r="7" spans="1:9" ht="18.75" customHeight="1" x14ac:dyDescent="0.25">
      <c r="A7" s="499"/>
      <c r="B7" s="499"/>
      <c r="C7" s="499"/>
      <c r="D7" s="499"/>
      <c r="E7" s="499"/>
      <c r="F7" s="499"/>
      <c r="G7" s="499"/>
      <c r="H7" s="499"/>
      <c r="I7" s="499"/>
    </row>
    <row r="8" spans="1:9" x14ac:dyDescent="0.25">
      <c r="A8" s="500" t="s">
        <v>32</v>
      </c>
      <c r="B8" s="500"/>
      <c r="C8" s="500"/>
      <c r="D8" s="500"/>
      <c r="E8" s="500"/>
      <c r="F8" s="500"/>
      <c r="G8" s="500"/>
      <c r="H8" s="500"/>
      <c r="I8" s="500"/>
    </row>
    <row r="9" spans="1:9" x14ac:dyDescent="0.25">
      <c r="A9" s="500"/>
      <c r="B9" s="500"/>
      <c r="C9" s="500"/>
      <c r="D9" s="500"/>
      <c r="E9" s="500"/>
      <c r="F9" s="500"/>
      <c r="G9" s="500"/>
      <c r="H9" s="500"/>
      <c r="I9" s="500"/>
    </row>
    <row r="10" spans="1:9" x14ac:dyDescent="0.25">
      <c r="A10" s="500"/>
      <c r="B10" s="500"/>
      <c r="C10" s="500"/>
      <c r="D10" s="500"/>
      <c r="E10" s="500"/>
      <c r="F10" s="500"/>
      <c r="G10" s="500"/>
      <c r="H10" s="500"/>
      <c r="I10" s="500"/>
    </row>
    <row r="11" spans="1:9" x14ac:dyDescent="0.25">
      <c r="A11" s="500"/>
      <c r="B11" s="500"/>
      <c r="C11" s="500"/>
      <c r="D11" s="500"/>
      <c r="E11" s="500"/>
      <c r="F11" s="500"/>
      <c r="G11" s="500"/>
      <c r="H11" s="500"/>
      <c r="I11" s="500"/>
    </row>
    <row r="12" spans="1:9" x14ac:dyDescent="0.25">
      <c r="A12" s="500"/>
      <c r="B12" s="500"/>
      <c r="C12" s="500"/>
      <c r="D12" s="500"/>
      <c r="E12" s="500"/>
      <c r="F12" s="500"/>
      <c r="G12" s="500"/>
      <c r="H12" s="500"/>
      <c r="I12" s="500"/>
    </row>
    <row r="13" spans="1:9" x14ac:dyDescent="0.25">
      <c r="A13" s="500"/>
      <c r="B13" s="500"/>
      <c r="C13" s="500"/>
      <c r="D13" s="500"/>
      <c r="E13" s="500"/>
      <c r="F13" s="500"/>
      <c r="G13" s="500"/>
      <c r="H13" s="500"/>
      <c r="I13" s="500"/>
    </row>
    <row r="14" spans="1:9" x14ac:dyDescent="0.25">
      <c r="A14" s="500"/>
      <c r="B14" s="500"/>
      <c r="C14" s="500"/>
      <c r="D14" s="500"/>
      <c r="E14" s="500"/>
      <c r="F14" s="500"/>
      <c r="G14" s="500"/>
      <c r="H14" s="500"/>
      <c r="I14" s="500"/>
    </row>
    <row r="15" spans="1:9" ht="19.5" customHeight="1" x14ac:dyDescent="0.3">
      <c r="A15" s="235"/>
    </row>
    <row r="16" spans="1:9" ht="19.5" customHeight="1" x14ac:dyDescent="0.3">
      <c r="A16" s="472" t="s">
        <v>33</v>
      </c>
      <c r="B16" s="473"/>
      <c r="C16" s="473"/>
      <c r="D16" s="473"/>
      <c r="E16" s="473"/>
      <c r="F16" s="473"/>
      <c r="G16" s="473"/>
      <c r="H16" s="474"/>
    </row>
    <row r="17" spans="1:14" ht="20.25" customHeight="1" x14ac:dyDescent="0.25">
      <c r="A17" s="475" t="s">
        <v>34</v>
      </c>
      <c r="B17" s="475"/>
      <c r="C17" s="475"/>
      <c r="D17" s="475"/>
      <c r="E17" s="475"/>
      <c r="F17" s="475"/>
      <c r="G17" s="475"/>
      <c r="H17" s="475"/>
    </row>
    <row r="18" spans="1:14" ht="26.25" customHeight="1" x14ac:dyDescent="0.4">
      <c r="A18" s="237" t="s">
        <v>35</v>
      </c>
      <c r="B18" s="471" t="s">
        <v>5</v>
      </c>
      <c r="C18" s="471"/>
      <c r="D18" s="406"/>
      <c r="E18" s="238"/>
      <c r="F18" s="239"/>
      <c r="G18" s="239"/>
      <c r="H18" s="239"/>
    </row>
    <row r="19" spans="1:14" ht="26.25" customHeight="1" x14ac:dyDescent="0.4">
      <c r="A19" s="237" t="s">
        <v>36</v>
      </c>
      <c r="B19" s="240" t="s">
        <v>7</v>
      </c>
      <c r="C19" s="408">
        <v>1</v>
      </c>
      <c r="D19" s="239"/>
      <c r="E19" s="239"/>
      <c r="F19" s="239"/>
      <c r="G19" s="239"/>
      <c r="H19" s="239"/>
    </row>
    <row r="20" spans="1:14" ht="26.25" customHeight="1" x14ac:dyDescent="0.4">
      <c r="A20" s="237" t="s">
        <v>37</v>
      </c>
      <c r="B20" s="476" t="s">
        <v>126</v>
      </c>
      <c r="C20" s="476"/>
      <c r="D20" s="239"/>
      <c r="E20" s="239"/>
      <c r="F20" s="239"/>
      <c r="G20" s="239"/>
      <c r="H20" s="239"/>
    </row>
    <row r="21" spans="1:14" ht="26.25" customHeight="1" x14ac:dyDescent="0.4">
      <c r="A21" s="237" t="s">
        <v>38</v>
      </c>
      <c r="B21" s="476" t="s">
        <v>129</v>
      </c>
      <c r="C21" s="476"/>
      <c r="D21" s="476"/>
      <c r="E21" s="476"/>
      <c r="F21" s="476"/>
      <c r="G21" s="476"/>
      <c r="H21" s="476"/>
      <c r="I21" s="241"/>
    </row>
    <row r="22" spans="1:14" ht="26.25" customHeight="1" x14ac:dyDescent="0.4">
      <c r="A22" s="237" t="s">
        <v>39</v>
      </c>
      <c r="B22" s="242">
        <v>42226</v>
      </c>
      <c r="C22" s="239"/>
      <c r="D22" s="239"/>
      <c r="E22" s="239"/>
      <c r="F22" s="239"/>
      <c r="G22" s="239"/>
      <c r="H22" s="239"/>
    </row>
    <row r="23" spans="1:14" ht="26.25" customHeight="1" x14ac:dyDescent="0.4">
      <c r="A23" s="237" t="s">
        <v>40</v>
      </c>
      <c r="B23" s="242">
        <v>42227</v>
      </c>
      <c r="C23" s="239"/>
      <c r="D23" s="239"/>
      <c r="E23" s="239"/>
      <c r="F23" s="239"/>
      <c r="G23" s="239"/>
      <c r="H23" s="239"/>
    </row>
    <row r="24" spans="1:14" ht="18.75" x14ac:dyDescent="0.3">
      <c r="A24" s="237"/>
      <c r="B24" s="243"/>
    </row>
    <row r="25" spans="1:14" ht="18.75" x14ac:dyDescent="0.3">
      <c r="A25" s="244" t="s">
        <v>1</v>
      </c>
      <c r="B25" s="243"/>
    </row>
    <row r="26" spans="1:14" ht="26.25" customHeight="1" x14ac:dyDescent="0.4">
      <c r="A26" s="245" t="s">
        <v>4</v>
      </c>
      <c r="B26" s="471" t="s">
        <v>130</v>
      </c>
      <c r="C26" s="471"/>
    </row>
    <row r="27" spans="1:14" ht="26.25" customHeight="1" x14ac:dyDescent="0.4">
      <c r="A27" s="246" t="s">
        <v>41</v>
      </c>
      <c r="B27" s="477" t="s">
        <v>131</v>
      </c>
      <c r="C27" s="477"/>
    </row>
    <row r="28" spans="1:14" ht="27" customHeight="1" x14ac:dyDescent="0.4">
      <c r="A28" s="246" t="s">
        <v>6</v>
      </c>
      <c r="B28" s="247">
        <v>99.58</v>
      </c>
    </row>
    <row r="29" spans="1:14" s="14" customFormat="1" ht="27" customHeight="1" x14ac:dyDescent="0.4">
      <c r="A29" s="246" t="s">
        <v>42</v>
      </c>
      <c r="B29" s="248">
        <v>0</v>
      </c>
      <c r="C29" s="478" t="s">
        <v>43</v>
      </c>
      <c r="D29" s="479"/>
      <c r="E29" s="479"/>
      <c r="F29" s="479"/>
      <c r="G29" s="480"/>
      <c r="I29" s="249"/>
      <c r="J29" s="249"/>
      <c r="K29" s="249"/>
      <c r="L29" s="249"/>
    </row>
    <row r="30" spans="1:14" s="14" customFormat="1" ht="19.5" customHeight="1" x14ac:dyDescent="0.3">
      <c r="A30" s="246" t="s">
        <v>44</v>
      </c>
      <c r="B30" s="250">
        <f>B28-B29</f>
        <v>99.58</v>
      </c>
      <c r="C30" s="251"/>
      <c r="D30" s="251"/>
      <c r="E30" s="251"/>
      <c r="F30" s="251"/>
      <c r="G30" s="252"/>
      <c r="I30" s="249"/>
      <c r="J30" s="249"/>
      <c r="K30" s="249"/>
      <c r="L30" s="249"/>
    </row>
    <row r="31" spans="1:14" s="14" customFormat="1" ht="27" customHeight="1" x14ac:dyDescent="0.4">
      <c r="A31" s="246" t="s">
        <v>45</v>
      </c>
      <c r="B31" s="253">
        <v>1</v>
      </c>
      <c r="C31" s="481" t="s">
        <v>46</v>
      </c>
      <c r="D31" s="482"/>
      <c r="E31" s="482"/>
      <c r="F31" s="482"/>
      <c r="G31" s="482"/>
      <c r="H31" s="483"/>
      <c r="I31" s="249"/>
      <c r="J31" s="249"/>
      <c r="K31" s="249"/>
      <c r="L31" s="249"/>
    </row>
    <row r="32" spans="1:14" s="14" customFormat="1" ht="27" customHeight="1" x14ac:dyDescent="0.4">
      <c r="A32" s="246" t="s">
        <v>47</v>
      </c>
      <c r="B32" s="253">
        <v>1</v>
      </c>
      <c r="C32" s="481" t="s">
        <v>48</v>
      </c>
      <c r="D32" s="482"/>
      <c r="E32" s="482"/>
      <c r="F32" s="482"/>
      <c r="G32" s="482"/>
      <c r="H32" s="483"/>
      <c r="I32" s="249"/>
      <c r="J32" s="249"/>
      <c r="K32" s="249"/>
      <c r="L32" s="254"/>
      <c r="M32" s="254"/>
      <c r="N32" s="255"/>
    </row>
    <row r="33" spans="1:14" s="14" customFormat="1" ht="17.25" customHeight="1" x14ac:dyDescent="0.3">
      <c r="A33" s="246"/>
      <c r="B33" s="256"/>
      <c r="C33" s="257"/>
      <c r="D33" s="257"/>
      <c r="E33" s="257"/>
      <c r="F33" s="257"/>
      <c r="G33" s="257"/>
      <c r="H33" s="257"/>
      <c r="I33" s="249"/>
      <c r="J33" s="249"/>
      <c r="K33" s="249"/>
      <c r="L33" s="254"/>
      <c r="M33" s="254"/>
      <c r="N33" s="255"/>
    </row>
    <row r="34" spans="1:14" s="14" customFormat="1" ht="18.75" x14ac:dyDescent="0.3">
      <c r="A34" s="246" t="s">
        <v>49</v>
      </c>
      <c r="B34" s="258">
        <f>B31/B32</f>
        <v>1</v>
      </c>
      <c r="C34" s="236" t="s">
        <v>50</v>
      </c>
      <c r="D34" s="236"/>
      <c r="E34" s="236"/>
      <c r="F34" s="236"/>
      <c r="G34" s="236"/>
      <c r="I34" s="249"/>
      <c r="J34" s="249"/>
      <c r="K34" s="249"/>
      <c r="L34" s="254"/>
      <c r="M34" s="254"/>
      <c r="N34" s="255"/>
    </row>
    <row r="35" spans="1:14" s="14" customFormat="1" ht="19.5" customHeight="1" x14ac:dyDescent="0.3">
      <c r="A35" s="246"/>
      <c r="B35" s="250"/>
      <c r="G35" s="236"/>
      <c r="I35" s="249"/>
      <c r="J35" s="249"/>
      <c r="K35" s="249"/>
      <c r="L35" s="254"/>
      <c r="M35" s="254"/>
      <c r="N35" s="255"/>
    </row>
    <row r="36" spans="1:14" s="14" customFormat="1" ht="27" customHeight="1" x14ac:dyDescent="0.4">
      <c r="A36" s="259" t="s">
        <v>51</v>
      </c>
      <c r="B36" s="260">
        <v>50</v>
      </c>
      <c r="C36" s="236"/>
      <c r="D36" s="484" t="s">
        <v>52</v>
      </c>
      <c r="E36" s="485"/>
      <c r="F36" s="484" t="s">
        <v>53</v>
      </c>
      <c r="G36" s="486"/>
      <c r="J36" s="249"/>
      <c r="K36" s="249"/>
      <c r="L36" s="254"/>
      <c r="M36" s="254"/>
      <c r="N36" s="255"/>
    </row>
    <row r="37" spans="1:14" s="14" customFormat="1" ht="27" customHeight="1" x14ac:dyDescent="0.4">
      <c r="A37" s="261" t="s">
        <v>54</v>
      </c>
      <c r="B37" s="262">
        <v>10</v>
      </c>
      <c r="C37" s="263" t="s">
        <v>55</v>
      </c>
      <c r="D37" s="264" t="s">
        <v>56</v>
      </c>
      <c r="E37" s="265" t="s">
        <v>57</v>
      </c>
      <c r="F37" s="264" t="s">
        <v>56</v>
      </c>
      <c r="G37" s="266" t="s">
        <v>57</v>
      </c>
      <c r="I37" s="267" t="s">
        <v>58</v>
      </c>
      <c r="J37" s="249"/>
      <c r="K37" s="249"/>
      <c r="L37" s="254"/>
      <c r="M37" s="254"/>
      <c r="N37" s="255"/>
    </row>
    <row r="38" spans="1:14" s="14" customFormat="1" ht="26.25" customHeight="1" x14ac:dyDescent="0.4">
      <c r="A38" s="261" t="s">
        <v>59</v>
      </c>
      <c r="B38" s="262">
        <v>50</v>
      </c>
      <c r="C38" s="268">
        <v>1</v>
      </c>
      <c r="D38" s="269">
        <v>96403788</v>
      </c>
      <c r="E38" s="270">
        <f>IF(ISBLANK(D38),"-",$D$48/$D$45*D38)</f>
        <v>100582225.08561935</v>
      </c>
      <c r="F38" s="269">
        <v>107008517</v>
      </c>
      <c r="G38" s="271">
        <f>IF(ISBLANK(F38),"-",$D$48/$F$45*F38)</f>
        <v>101257807.64487644</v>
      </c>
      <c r="I38" s="272"/>
      <c r="J38" s="249"/>
      <c r="K38" s="249"/>
      <c r="L38" s="254"/>
      <c r="M38" s="254"/>
      <c r="N38" s="255"/>
    </row>
    <row r="39" spans="1:14" s="14" customFormat="1" ht="26.25" customHeight="1" x14ac:dyDescent="0.4">
      <c r="A39" s="261" t="s">
        <v>60</v>
      </c>
      <c r="B39" s="262">
        <v>1</v>
      </c>
      <c r="C39" s="273">
        <v>2</v>
      </c>
      <c r="D39" s="274">
        <v>96656363</v>
      </c>
      <c r="E39" s="275">
        <f>IF(ISBLANK(D39),"-",$D$48/$D$45*D39)</f>
        <v>100845747.46402423</v>
      </c>
      <c r="F39" s="274">
        <v>106918309</v>
      </c>
      <c r="G39" s="276">
        <f>IF(ISBLANK(F39),"-",$D$48/$F$45*F39)</f>
        <v>101172447.48319857</v>
      </c>
      <c r="I39" s="488">
        <f>ABS((F43/D43*D42)-F42)/D42</f>
        <v>6.0014293295940222E-3</v>
      </c>
      <c r="J39" s="249"/>
      <c r="K39" s="249"/>
      <c r="L39" s="254"/>
      <c r="M39" s="254"/>
      <c r="N39" s="255"/>
    </row>
    <row r="40" spans="1:14" ht="26.25" customHeight="1" x14ac:dyDescent="0.4">
      <c r="A40" s="261" t="s">
        <v>61</v>
      </c>
      <c r="B40" s="262">
        <v>1</v>
      </c>
      <c r="C40" s="273">
        <v>3</v>
      </c>
      <c r="D40" s="274">
        <v>96681842</v>
      </c>
      <c r="E40" s="275">
        <f>IF(ISBLANK(D40),"-",$D$48/$D$45*D40)</f>
        <v>100872330.80235693</v>
      </c>
      <c r="F40" s="274">
        <v>107280809</v>
      </c>
      <c r="G40" s="276">
        <f>IF(ISBLANK(F40),"-",$D$48/$F$45*F40)</f>
        <v>101515466.49047317</v>
      </c>
      <c r="I40" s="488"/>
      <c r="L40" s="254"/>
      <c r="M40" s="254"/>
      <c r="N40" s="277"/>
    </row>
    <row r="41" spans="1:14" ht="27" customHeight="1" x14ac:dyDescent="0.4">
      <c r="A41" s="261" t="s">
        <v>62</v>
      </c>
      <c r="B41" s="262">
        <v>1</v>
      </c>
      <c r="C41" s="278">
        <v>4</v>
      </c>
      <c r="D41" s="279"/>
      <c r="E41" s="280"/>
      <c r="F41" s="279"/>
      <c r="G41" s="281"/>
      <c r="I41" s="282"/>
      <c r="L41" s="254"/>
      <c r="M41" s="254"/>
      <c r="N41" s="277"/>
    </row>
    <row r="42" spans="1:14" ht="27" customHeight="1" x14ac:dyDescent="0.4">
      <c r="A42" s="261" t="s">
        <v>63</v>
      </c>
      <c r="B42" s="262">
        <v>1</v>
      </c>
      <c r="C42" s="283" t="s">
        <v>64</v>
      </c>
      <c r="D42" s="284">
        <f>AVERAGE(D38:D41)</f>
        <v>96580664.333333328</v>
      </c>
      <c r="E42" s="285">
        <f>AVERAGE(E38:E41)</f>
        <v>100766767.78400016</v>
      </c>
      <c r="F42" s="284">
        <f>AVERAGE(F38:F41)</f>
        <v>107069211.66666667</v>
      </c>
      <c r="G42" s="286">
        <f>AVERAGE(G38:G41)</f>
        <v>101315240.53951605</v>
      </c>
      <c r="H42" s="287"/>
    </row>
    <row r="43" spans="1:14" ht="26.25" customHeight="1" x14ac:dyDescent="0.4">
      <c r="A43" s="261" t="s">
        <v>65</v>
      </c>
      <c r="B43" s="262">
        <v>1</v>
      </c>
      <c r="C43" s="288" t="s">
        <v>66</v>
      </c>
      <c r="D43" s="289">
        <v>38.5</v>
      </c>
      <c r="E43" s="277"/>
      <c r="F43" s="289">
        <v>42.45</v>
      </c>
      <c r="H43" s="287"/>
    </row>
    <row r="44" spans="1:14" ht="26.25" customHeight="1" x14ac:dyDescent="0.4">
      <c r="A44" s="261" t="s">
        <v>67</v>
      </c>
      <c r="B44" s="262">
        <v>1</v>
      </c>
      <c r="C44" s="290" t="s">
        <v>68</v>
      </c>
      <c r="D44" s="291">
        <f>D43*$B$34</f>
        <v>38.5</v>
      </c>
      <c r="E44" s="292"/>
      <c r="F44" s="291">
        <f>F43*$B$34</f>
        <v>42.45</v>
      </c>
      <c r="H44" s="287"/>
    </row>
    <row r="45" spans="1:14" ht="19.5" customHeight="1" x14ac:dyDescent="0.3">
      <c r="A45" s="261" t="s">
        <v>69</v>
      </c>
      <c r="B45" s="293">
        <f>(B44/B43)*(B42/B41)*(B40/B39)*(B38/B37)*B36</f>
        <v>250</v>
      </c>
      <c r="C45" s="290" t="s">
        <v>70</v>
      </c>
      <c r="D45" s="294">
        <f>D44*$B$30/100</f>
        <v>38.338299999999997</v>
      </c>
      <c r="E45" s="295"/>
      <c r="F45" s="294">
        <f>F44*$B$30/100</f>
        <v>42.271710000000006</v>
      </c>
      <c r="H45" s="287"/>
    </row>
    <row r="46" spans="1:14" ht="19.5" customHeight="1" x14ac:dyDescent="0.3">
      <c r="A46" s="489" t="s">
        <v>71</v>
      </c>
      <c r="B46" s="490"/>
      <c r="C46" s="290" t="s">
        <v>72</v>
      </c>
      <c r="D46" s="296">
        <f>D45/$B$45</f>
        <v>0.1533532</v>
      </c>
      <c r="E46" s="297"/>
      <c r="F46" s="298">
        <f>F45/$B$45</f>
        <v>0.16908684000000002</v>
      </c>
      <c r="H46" s="287"/>
    </row>
    <row r="47" spans="1:14" ht="27" customHeight="1" x14ac:dyDescent="0.4">
      <c r="A47" s="491"/>
      <c r="B47" s="492"/>
      <c r="C47" s="299" t="s">
        <v>73</v>
      </c>
      <c r="D47" s="300">
        <v>0.16</v>
      </c>
      <c r="E47" s="301"/>
      <c r="F47" s="297"/>
      <c r="H47" s="287"/>
    </row>
    <row r="48" spans="1:14" ht="18.75" x14ac:dyDescent="0.3">
      <c r="C48" s="302" t="s">
        <v>74</v>
      </c>
      <c r="D48" s="294">
        <f>D47*$B$45</f>
        <v>40</v>
      </c>
      <c r="F48" s="303"/>
      <c r="H48" s="287"/>
    </row>
    <row r="49" spans="1:12" ht="19.5" customHeight="1" x14ac:dyDescent="0.3">
      <c r="C49" s="304" t="s">
        <v>75</v>
      </c>
      <c r="D49" s="305">
        <f>D48/B34</f>
        <v>40</v>
      </c>
      <c r="F49" s="303"/>
      <c r="H49" s="287"/>
    </row>
    <row r="50" spans="1:12" ht="18.75" x14ac:dyDescent="0.3">
      <c r="C50" s="259" t="s">
        <v>76</v>
      </c>
      <c r="D50" s="306">
        <f>AVERAGE(E38:E41,G38:G41)</f>
        <v>101041004.16175811</v>
      </c>
      <c r="F50" s="307"/>
      <c r="H50" s="287"/>
    </row>
    <row r="51" spans="1:12" ht="18.75" x14ac:dyDescent="0.3">
      <c r="C51" s="261" t="s">
        <v>77</v>
      </c>
      <c r="D51" s="308">
        <f>STDEV(E38:E41,G38:G41)/D50</f>
        <v>3.3311794381293402E-3</v>
      </c>
      <c r="F51" s="307"/>
      <c r="H51" s="287"/>
    </row>
    <row r="52" spans="1:12" ht="19.5" customHeight="1" x14ac:dyDescent="0.3">
      <c r="C52" s="309" t="s">
        <v>20</v>
      </c>
      <c r="D52" s="310">
        <f>COUNT(E38:E41,G38:G41)</f>
        <v>6</v>
      </c>
      <c r="F52" s="307"/>
    </row>
    <row r="54" spans="1:12" ht="18.75" x14ac:dyDescent="0.3">
      <c r="A54" s="311" t="s">
        <v>1</v>
      </c>
      <c r="B54" s="312" t="s">
        <v>78</v>
      </c>
    </row>
    <row r="55" spans="1:12" ht="18.75" x14ac:dyDescent="0.3">
      <c r="A55" s="236" t="s">
        <v>79</v>
      </c>
      <c r="B55" s="313" t="str">
        <f>B21</f>
        <v>Sulphamethoxazole 800mg</v>
      </c>
    </row>
    <row r="56" spans="1:12" ht="26.25" customHeight="1" x14ac:dyDescent="0.4">
      <c r="A56" s="314" t="s">
        <v>80</v>
      </c>
      <c r="B56" s="315">
        <v>800</v>
      </c>
      <c r="C56" s="236" t="str">
        <f>B20</f>
        <v>Sulphamethoxazole</v>
      </c>
      <c r="H56" s="316"/>
    </row>
    <row r="57" spans="1:12" ht="18.75" x14ac:dyDescent="0.3">
      <c r="A57" s="313" t="s">
        <v>81</v>
      </c>
      <c r="B57" s="407">
        <f>Uniformity!C46</f>
        <v>1040.9184999999998</v>
      </c>
      <c r="H57" s="316"/>
    </row>
    <row r="58" spans="1:12" ht="19.5" customHeight="1" x14ac:dyDescent="0.3">
      <c r="H58" s="316"/>
    </row>
    <row r="59" spans="1:12" s="14" customFormat="1" ht="27" customHeight="1" x14ac:dyDescent="0.4">
      <c r="A59" s="259" t="s">
        <v>82</v>
      </c>
      <c r="B59" s="260">
        <v>200</v>
      </c>
      <c r="C59" s="236"/>
      <c r="D59" s="317" t="s">
        <v>83</v>
      </c>
      <c r="E59" s="318" t="s">
        <v>55</v>
      </c>
      <c r="F59" s="318" t="s">
        <v>56</v>
      </c>
      <c r="G59" s="318" t="s">
        <v>84</v>
      </c>
      <c r="H59" s="263" t="s">
        <v>85</v>
      </c>
      <c r="L59" s="249"/>
    </row>
    <row r="60" spans="1:12" s="14" customFormat="1" ht="26.25" customHeight="1" x14ac:dyDescent="0.4">
      <c r="A60" s="261" t="s">
        <v>86</v>
      </c>
      <c r="B60" s="262">
        <v>2</v>
      </c>
      <c r="C60" s="493" t="s">
        <v>87</v>
      </c>
      <c r="D60" s="496">
        <v>1027.57</v>
      </c>
      <c r="E60" s="319">
        <v>1</v>
      </c>
      <c r="F60" s="320">
        <v>98216411</v>
      </c>
      <c r="G60" s="409">
        <f>IF(ISBLANK(F60),"-",(F60/$D$50*$D$47*$B$68)*($B$57/$D$60))</f>
        <v>787.73783343379591</v>
      </c>
      <c r="H60" s="321">
        <f t="shared" ref="H60:H71" si="0">IF(ISBLANK(F60),"-",G60/$B$56)</f>
        <v>0.98467229179224491</v>
      </c>
      <c r="L60" s="249"/>
    </row>
    <row r="61" spans="1:12" s="14" customFormat="1" ht="26.25" customHeight="1" x14ac:dyDescent="0.4">
      <c r="A61" s="261" t="s">
        <v>88</v>
      </c>
      <c r="B61" s="262">
        <v>50</v>
      </c>
      <c r="C61" s="494"/>
      <c r="D61" s="497"/>
      <c r="E61" s="322">
        <v>2</v>
      </c>
      <c r="F61" s="274">
        <v>98238958</v>
      </c>
      <c r="G61" s="410">
        <f>IF(ISBLANK(F61),"-",(F61/$D$50*$D$47*$B$68)*($B$57/$D$60))</f>
        <v>787.91867006536904</v>
      </c>
      <c r="H61" s="323">
        <f t="shared" si="0"/>
        <v>0.9848983375817113</v>
      </c>
      <c r="L61" s="249"/>
    </row>
    <row r="62" spans="1:12" s="14" customFormat="1" ht="26.25" customHeight="1" x14ac:dyDescent="0.4">
      <c r="A62" s="261" t="s">
        <v>89</v>
      </c>
      <c r="B62" s="262">
        <v>1</v>
      </c>
      <c r="C62" s="494"/>
      <c r="D62" s="497"/>
      <c r="E62" s="322">
        <v>3</v>
      </c>
      <c r="F62" s="324">
        <v>98203335</v>
      </c>
      <c r="G62" s="410">
        <f>IF(ISBLANK(F62),"-",(F62/$D$50*$D$47*$B$68)*($B$57/$D$60))</f>
        <v>787.6329582932251</v>
      </c>
      <c r="H62" s="323">
        <f t="shared" si="0"/>
        <v>0.98454119786653138</v>
      </c>
      <c r="L62" s="249"/>
    </row>
    <row r="63" spans="1:12" ht="27" customHeight="1" x14ac:dyDescent="0.4">
      <c r="A63" s="261" t="s">
        <v>90</v>
      </c>
      <c r="B63" s="262">
        <v>1</v>
      </c>
      <c r="C63" s="495"/>
      <c r="D63" s="498"/>
      <c r="E63" s="325">
        <v>4</v>
      </c>
      <c r="F63" s="326"/>
      <c r="G63" s="410" t="str">
        <f>IF(ISBLANK(F63),"-",(F63/$D$50*$D$47*$B$68)*($B$57/$D$60))</f>
        <v>-</v>
      </c>
      <c r="H63" s="323" t="str">
        <f t="shared" si="0"/>
        <v>-</v>
      </c>
    </row>
    <row r="64" spans="1:12" ht="26.25" customHeight="1" x14ac:dyDescent="0.4">
      <c r="A64" s="261" t="s">
        <v>91</v>
      </c>
      <c r="B64" s="262">
        <v>1</v>
      </c>
      <c r="C64" s="493" t="s">
        <v>92</v>
      </c>
      <c r="D64" s="496">
        <v>1043.77</v>
      </c>
      <c r="E64" s="319">
        <v>1</v>
      </c>
      <c r="F64" s="320">
        <v>99088085</v>
      </c>
      <c r="G64" s="411">
        <f>IF(ISBLANK(F64),"-",(F64/$D$50*$D$47*$B$68)*($B$57/$D$64))</f>
        <v>782.39431392851725</v>
      </c>
      <c r="H64" s="327">
        <f t="shared" si="0"/>
        <v>0.97799289241064657</v>
      </c>
    </row>
    <row r="65" spans="1:8" ht="26.25" customHeight="1" x14ac:dyDescent="0.4">
      <c r="A65" s="261" t="s">
        <v>93</v>
      </c>
      <c r="B65" s="262">
        <v>1</v>
      </c>
      <c r="C65" s="494"/>
      <c r="D65" s="497"/>
      <c r="E65" s="322">
        <v>2</v>
      </c>
      <c r="F65" s="274">
        <v>99016148</v>
      </c>
      <c r="G65" s="412">
        <f>IF(ISBLANK(F65),"-",(F65/$D$50*$D$47*$B$68)*($B$57/$D$64))</f>
        <v>781.82630315546567</v>
      </c>
      <c r="H65" s="328">
        <f t="shared" si="0"/>
        <v>0.97728287894433208</v>
      </c>
    </row>
    <row r="66" spans="1:8" ht="26.25" customHeight="1" x14ac:dyDescent="0.4">
      <c r="A66" s="261" t="s">
        <v>94</v>
      </c>
      <c r="B66" s="262">
        <v>1</v>
      </c>
      <c r="C66" s="494"/>
      <c r="D66" s="497"/>
      <c r="E66" s="322">
        <v>3</v>
      </c>
      <c r="F66" s="274">
        <v>99016497</v>
      </c>
      <c r="G66" s="412">
        <f>IF(ISBLANK(F66),"-",(F66/$D$50*$D$47*$B$68)*($B$57/$D$64))</f>
        <v>781.82905884113222</v>
      </c>
      <c r="H66" s="328">
        <f t="shared" si="0"/>
        <v>0.97728632355141531</v>
      </c>
    </row>
    <row r="67" spans="1:8" ht="27" customHeight="1" x14ac:dyDescent="0.4">
      <c r="A67" s="261" t="s">
        <v>95</v>
      </c>
      <c r="B67" s="262">
        <v>1</v>
      </c>
      <c r="C67" s="495"/>
      <c r="D67" s="498"/>
      <c r="E67" s="325">
        <v>4</v>
      </c>
      <c r="F67" s="326"/>
      <c r="G67" s="413" t="str">
        <f>IF(ISBLANK(F67),"-",(F67/$D$50*$D$47*$B$68)*($B$57/$D$64))</f>
        <v>-</v>
      </c>
      <c r="H67" s="329" t="str">
        <f t="shared" si="0"/>
        <v>-</v>
      </c>
    </row>
    <row r="68" spans="1:8" ht="26.25" customHeight="1" x14ac:dyDescent="0.4">
      <c r="A68" s="261" t="s">
        <v>96</v>
      </c>
      <c r="B68" s="330">
        <f>(B67/B66)*(B65/B64)*(B63/B62)*(B61/B60)*B59</f>
        <v>5000</v>
      </c>
      <c r="C68" s="493" t="s">
        <v>97</v>
      </c>
      <c r="D68" s="496">
        <v>1048.82</v>
      </c>
      <c r="E68" s="319">
        <v>1</v>
      </c>
      <c r="F68" s="320">
        <v>100856978</v>
      </c>
      <c r="G68" s="411">
        <f>IF(ISBLANK(F68),"-",(F68/$D$50*$D$47*$B$68)*($B$57/$D$68))</f>
        <v>792.52697185221655</v>
      </c>
      <c r="H68" s="323">
        <f t="shared" si="0"/>
        <v>0.99065871481527068</v>
      </c>
    </row>
    <row r="69" spans="1:8" ht="27" customHeight="1" x14ac:dyDescent="0.4">
      <c r="A69" s="309" t="s">
        <v>98</v>
      </c>
      <c r="B69" s="331">
        <f>(D47*B68)/B56*B57</f>
        <v>1040.9184999999998</v>
      </c>
      <c r="C69" s="494"/>
      <c r="D69" s="497"/>
      <c r="E69" s="322">
        <v>2</v>
      </c>
      <c r="F69" s="274">
        <v>101029821</v>
      </c>
      <c r="G69" s="412">
        <f>IF(ISBLANK(F69),"-",(F69/$D$50*$D$47*$B$68)*($B$57/$D$68))</f>
        <v>793.88515987363292</v>
      </c>
      <c r="H69" s="323">
        <f t="shared" si="0"/>
        <v>0.99235644984204119</v>
      </c>
    </row>
    <row r="70" spans="1:8" ht="26.25" customHeight="1" x14ac:dyDescent="0.4">
      <c r="A70" s="506" t="s">
        <v>71</v>
      </c>
      <c r="B70" s="507"/>
      <c r="C70" s="494"/>
      <c r="D70" s="497"/>
      <c r="E70" s="322">
        <v>3</v>
      </c>
      <c r="F70" s="274">
        <v>101055056</v>
      </c>
      <c r="G70" s="412">
        <f>IF(ISBLANK(F70),"-",(F70/$D$50*$D$47*$B$68)*($B$57/$D$68))</f>
        <v>794.08345471184134</v>
      </c>
      <c r="H70" s="323">
        <f t="shared" si="0"/>
        <v>0.99260431838980168</v>
      </c>
    </row>
    <row r="71" spans="1:8" ht="27" customHeight="1" x14ac:dyDescent="0.4">
      <c r="A71" s="508"/>
      <c r="B71" s="509"/>
      <c r="C71" s="505"/>
      <c r="D71" s="498"/>
      <c r="E71" s="325">
        <v>4</v>
      </c>
      <c r="F71" s="326"/>
      <c r="G71" s="413" t="str">
        <f>IF(ISBLANK(F71),"-",(F71/$D$50*$D$47*$B$68)*($B$57/$D$68))</f>
        <v>-</v>
      </c>
      <c r="H71" s="332" t="str">
        <f t="shared" si="0"/>
        <v>-</v>
      </c>
    </row>
    <row r="72" spans="1:8" ht="26.25" customHeight="1" x14ac:dyDescent="0.4">
      <c r="A72" s="333"/>
      <c r="B72" s="333"/>
      <c r="C72" s="333"/>
      <c r="D72" s="333"/>
      <c r="E72" s="333"/>
      <c r="F72" s="334"/>
      <c r="G72" s="335" t="s">
        <v>64</v>
      </c>
      <c r="H72" s="336">
        <f>AVERAGE(H60:H71)</f>
        <v>0.98469926724377721</v>
      </c>
    </row>
    <row r="73" spans="1:8" ht="26.25" customHeight="1" x14ac:dyDescent="0.4">
      <c r="C73" s="333"/>
      <c r="D73" s="333"/>
      <c r="E73" s="333"/>
      <c r="F73" s="334"/>
      <c r="G73" s="337" t="s">
        <v>77</v>
      </c>
      <c r="H73" s="414">
        <f>STDEV(H60:H71)/H72</f>
        <v>6.3383011241022582E-3</v>
      </c>
    </row>
    <row r="74" spans="1:8" ht="27" customHeight="1" x14ac:dyDescent="0.4">
      <c r="A74" s="333"/>
      <c r="B74" s="333"/>
      <c r="C74" s="334"/>
      <c r="D74" s="334"/>
      <c r="E74" s="338"/>
      <c r="F74" s="334"/>
      <c r="G74" s="339" t="s">
        <v>20</v>
      </c>
      <c r="H74" s="340">
        <f>COUNT(H60:H71)</f>
        <v>9</v>
      </c>
    </row>
    <row r="76" spans="1:8" ht="26.25" customHeight="1" x14ac:dyDescent="0.4">
      <c r="A76" s="245" t="s">
        <v>99</v>
      </c>
      <c r="B76" s="341" t="s">
        <v>100</v>
      </c>
      <c r="C76" s="501" t="str">
        <f>B20</f>
        <v>Sulphamethoxazole</v>
      </c>
      <c r="D76" s="501"/>
      <c r="E76" s="342" t="s">
        <v>101</v>
      </c>
      <c r="F76" s="342"/>
      <c r="G76" s="343">
        <f>H72</f>
        <v>0.98469926724377721</v>
      </c>
      <c r="H76" s="344"/>
    </row>
    <row r="77" spans="1:8" ht="18.75" x14ac:dyDescent="0.3">
      <c r="A77" s="244" t="s">
        <v>102</v>
      </c>
      <c r="B77" s="244" t="s">
        <v>103</v>
      </c>
    </row>
    <row r="78" spans="1:8" ht="18.75" x14ac:dyDescent="0.3">
      <c r="A78" s="244"/>
      <c r="B78" s="244"/>
    </row>
    <row r="79" spans="1:8" ht="26.25" customHeight="1" x14ac:dyDescent="0.4">
      <c r="A79" s="245" t="s">
        <v>4</v>
      </c>
      <c r="B79" s="487" t="str">
        <f>B26</f>
        <v>Sulfamethoxazole</v>
      </c>
      <c r="C79" s="487"/>
    </row>
    <row r="80" spans="1:8" ht="26.25" customHeight="1" x14ac:dyDescent="0.4">
      <c r="A80" s="246" t="s">
        <v>41</v>
      </c>
      <c r="B80" s="487" t="str">
        <f>B27</f>
        <v>S12 2</v>
      </c>
      <c r="C80" s="487"/>
    </row>
    <row r="81" spans="1:12" ht="27" customHeight="1" x14ac:dyDescent="0.4">
      <c r="A81" s="246" t="s">
        <v>6</v>
      </c>
      <c r="B81" s="345">
        <f>B28</f>
        <v>99.58</v>
      </c>
    </row>
    <row r="82" spans="1:12" s="14" customFormat="1" ht="27" customHeight="1" x14ac:dyDescent="0.4">
      <c r="A82" s="246" t="s">
        <v>42</v>
      </c>
      <c r="B82" s="248">
        <v>0</v>
      </c>
      <c r="C82" s="478" t="s">
        <v>43</v>
      </c>
      <c r="D82" s="479"/>
      <c r="E82" s="479"/>
      <c r="F82" s="479"/>
      <c r="G82" s="480"/>
      <c r="I82" s="249"/>
      <c r="J82" s="249"/>
      <c r="K82" s="249"/>
      <c r="L82" s="249"/>
    </row>
    <row r="83" spans="1:12" s="14" customFormat="1" ht="19.5" customHeight="1" x14ac:dyDescent="0.3">
      <c r="A83" s="246" t="s">
        <v>44</v>
      </c>
      <c r="B83" s="250">
        <f>B81-B82</f>
        <v>99.58</v>
      </c>
      <c r="C83" s="251"/>
      <c r="D83" s="251"/>
      <c r="E83" s="251"/>
      <c r="F83" s="251"/>
      <c r="G83" s="252"/>
      <c r="I83" s="249"/>
      <c r="J83" s="249"/>
      <c r="K83" s="249"/>
      <c r="L83" s="249"/>
    </row>
    <row r="84" spans="1:12" s="14" customFormat="1" ht="27" customHeight="1" x14ac:dyDescent="0.4">
      <c r="A84" s="246" t="s">
        <v>45</v>
      </c>
      <c r="B84" s="253">
        <v>1</v>
      </c>
      <c r="C84" s="481" t="s">
        <v>104</v>
      </c>
      <c r="D84" s="482"/>
      <c r="E84" s="482"/>
      <c r="F84" s="482"/>
      <c r="G84" s="482"/>
      <c r="H84" s="483"/>
      <c r="I84" s="249"/>
      <c r="J84" s="249"/>
      <c r="K84" s="249"/>
      <c r="L84" s="249"/>
    </row>
    <row r="85" spans="1:12" s="14" customFormat="1" ht="27" customHeight="1" x14ac:dyDescent="0.4">
      <c r="A85" s="246" t="s">
        <v>47</v>
      </c>
      <c r="B85" s="253">
        <v>1</v>
      </c>
      <c r="C85" s="481" t="s">
        <v>105</v>
      </c>
      <c r="D85" s="482"/>
      <c r="E85" s="482"/>
      <c r="F85" s="482"/>
      <c r="G85" s="482"/>
      <c r="H85" s="483"/>
      <c r="I85" s="249"/>
      <c r="J85" s="249"/>
      <c r="K85" s="249"/>
      <c r="L85" s="249"/>
    </row>
    <row r="86" spans="1:12" s="14" customFormat="1" ht="18.75" x14ac:dyDescent="0.3">
      <c r="A86" s="246"/>
      <c r="B86" s="256"/>
      <c r="C86" s="257"/>
      <c r="D86" s="257"/>
      <c r="E86" s="257"/>
      <c r="F86" s="257"/>
      <c r="G86" s="257"/>
      <c r="H86" s="257"/>
      <c r="I86" s="249"/>
      <c r="J86" s="249"/>
      <c r="K86" s="249"/>
      <c r="L86" s="249"/>
    </row>
    <row r="87" spans="1:12" s="14" customFormat="1" ht="18.75" x14ac:dyDescent="0.3">
      <c r="A87" s="246" t="s">
        <v>49</v>
      </c>
      <c r="B87" s="258">
        <f>B84/B85</f>
        <v>1</v>
      </c>
      <c r="C87" s="236" t="s">
        <v>50</v>
      </c>
      <c r="D87" s="236"/>
      <c r="E87" s="236"/>
      <c r="F87" s="236"/>
      <c r="G87" s="236"/>
      <c r="I87" s="249"/>
      <c r="J87" s="249"/>
      <c r="K87" s="249"/>
      <c r="L87" s="249"/>
    </row>
    <row r="88" spans="1:12" ht="19.5" customHeight="1" x14ac:dyDescent="0.3">
      <c r="A88" s="244"/>
      <c r="B88" s="244"/>
    </row>
    <row r="89" spans="1:12" ht="27" customHeight="1" x14ac:dyDescent="0.4">
      <c r="A89" s="259" t="s">
        <v>51</v>
      </c>
      <c r="B89" s="260">
        <v>50</v>
      </c>
      <c r="D89" s="346" t="s">
        <v>52</v>
      </c>
      <c r="E89" s="347"/>
      <c r="F89" s="484" t="s">
        <v>53</v>
      </c>
      <c r="G89" s="486"/>
    </row>
    <row r="90" spans="1:12" ht="27" customHeight="1" x14ac:dyDescent="0.4">
      <c r="A90" s="261" t="s">
        <v>54</v>
      </c>
      <c r="B90" s="262">
        <v>10</v>
      </c>
      <c r="C90" s="348" t="s">
        <v>55</v>
      </c>
      <c r="D90" s="264" t="s">
        <v>56</v>
      </c>
      <c r="E90" s="265" t="s">
        <v>57</v>
      </c>
      <c r="F90" s="264" t="s">
        <v>56</v>
      </c>
      <c r="G90" s="349" t="s">
        <v>57</v>
      </c>
      <c r="I90" s="267" t="s">
        <v>58</v>
      </c>
    </row>
    <row r="91" spans="1:12" ht="26.25" customHeight="1" x14ac:dyDescent="0.4">
      <c r="A91" s="261" t="s">
        <v>59</v>
      </c>
      <c r="B91" s="262">
        <v>50</v>
      </c>
      <c r="C91" s="350">
        <v>1</v>
      </c>
      <c r="D91" s="464">
        <v>96403788</v>
      </c>
      <c r="E91" s="270">
        <f>IF(ISBLANK(D91),"-",$D$101/$D$98*D91)</f>
        <v>111758027.87291038</v>
      </c>
      <c r="F91" s="464">
        <v>107008517</v>
      </c>
      <c r="G91" s="271">
        <f>IF(ISBLANK(F91),"-",$D$101/$F$98*F91)</f>
        <v>112508675.1609738</v>
      </c>
      <c r="I91" s="272"/>
    </row>
    <row r="92" spans="1:12" ht="26.25" customHeight="1" x14ac:dyDescent="0.4">
      <c r="A92" s="261" t="s">
        <v>60</v>
      </c>
      <c r="B92" s="262">
        <v>1</v>
      </c>
      <c r="C92" s="334">
        <v>2</v>
      </c>
      <c r="D92" s="465">
        <v>96656363</v>
      </c>
      <c r="E92" s="275">
        <f>IF(ISBLANK(D92),"-",$D$101/$D$98*D92)</f>
        <v>112050830.51558247</v>
      </c>
      <c r="F92" s="465">
        <v>106918309</v>
      </c>
      <c r="G92" s="276">
        <f>IF(ISBLANK(F92),"-",$D$101/$F$98*F92)</f>
        <v>112413830.53688727</v>
      </c>
      <c r="I92" s="488">
        <f>ABS((F96/D96*D95)-F95)/D95</f>
        <v>6.0014293295940222E-3</v>
      </c>
    </row>
    <row r="93" spans="1:12" ht="26.25" customHeight="1" x14ac:dyDescent="0.4">
      <c r="A93" s="261" t="s">
        <v>61</v>
      </c>
      <c r="B93" s="262">
        <v>1</v>
      </c>
      <c r="C93" s="334">
        <v>3</v>
      </c>
      <c r="D93" s="465">
        <v>96681842</v>
      </c>
      <c r="E93" s="275">
        <f>IF(ISBLANK(D93),"-",$D$101/$D$98*D93)</f>
        <v>112080367.55817436</v>
      </c>
      <c r="F93" s="465">
        <v>107280809</v>
      </c>
      <c r="G93" s="276">
        <f>IF(ISBLANK(F93),"-",$D$101/$F$98*F93)</f>
        <v>112794962.76719239</v>
      </c>
      <c r="I93" s="488"/>
    </row>
    <row r="94" spans="1:12" ht="27" customHeight="1" x14ac:dyDescent="0.4">
      <c r="A94" s="261" t="s">
        <v>62</v>
      </c>
      <c r="B94" s="262">
        <v>1</v>
      </c>
      <c r="C94" s="351">
        <v>4</v>
      </c>
      <c r="D94" s="466"/>
      <c r="E94" s="280" t="str">
        <f>IF(ISBLANK(D94),"-",$D$101/$D$98*D94)</f>
        <v>-</v>
      </c>
      <c r="F94" s="466"/>
      <c r="G94" s="281" t="str">
        <f>IF(ISBLANK(F94),"-",$D$101/$F$98*F94)</f>
        <v>-</v>
      </c>
      <c r="I94" s="282"/>
    </row>
    <row r="95" spans="1:12" ht="27" customHeight="1" x14ac:dyDescent="0.4">
      <c r="A95" s="261" t="s">
        <v>63</v>
      </c>
      <c r="B95" s="262">
        <v>1</v>
      </c>
      <c r="C95" s="352" t="s">
        <v>64</v>
      </c>
      <c r="D95" s="353">
        <f>AVERAGE(D91:D94)</f>
        <v>96580664.333333328</v>
      </c>
      <c r="E95" s="285">
        <f>AVERAGE(E91:E94)</f>
        <v>111963075.31555574</v>
      </c>
      <c r="F95" s="354">
        <f>AVERAGE(F91:F94)</f>
        <v>107069211.66666667</v>
      </c>
      <c r="G95" s="355">
        <f>AVERAGE(G91:G94)</f>
        <v>112572489.48835115</v>
      </c>
    </row>
    <row r="96" spans="1:12" ht="26.25" customHeight="1" x14ac:dyDescent="0.4">
      <c r="A96" s="261" t="s">
        <v>65</v>
      </c>
      <c r="B96" s="247">
        <v>1</v>
      </c>
      <c r="C96" s="356" t="s">
        <v>106</v>
      </c>
      <c r="D96" s="357">
        <v>38.5</v>
      </c>
      <c r="E96" s="277"/>
      <c r="F96" s="289">
        <v>42.45</v>
      </c>
    </row>
    <row r="97" spans="1:10" ht="26.25" customHeight="1" x14ac:dyDescent="0.4">
      <c r="A97" s="261" t="s">
        <v>67</v>
      </c>
      <c r="B97" s="247">
        <v>1</v>
      </c>
      <c r="C97" s="358" t="s">
        <v>107</v>
      </c>
      <c r="D97" s="359">
        <f>D96*$B$87</f>
        <v>38.5</v>
      </c>
      <c r="E97" s="292"/>
      <c r="F97" s="291">
        <f>F96*$B$87</f>
        <v>42.45</v>
      </c>
    </row>
    <row r="98" spans="1:10" ht="19.5" customHeight="1" x14ac:dyDescent="0.3">
      <c r="A98" s="261" t="s">
        <v>69</v>
      </c>
      <c r="B98" s="360">
        <f>(B97/B96)*(B95/B94)*(B93/B92)*(B91/B90)*B89</f>
        <v>250</v>
      </c>
      <c r="C98" s="358" t="s">
        <v>108</v>
      </c>
      <c r="D98" s="361">
        <f>D97*$B$83/100</f>
        <v>38.338299999999997</v>
      </c>
      <c r="E98" s="295"/>
      <c r="F98" s="294">
        <f>F97*$B$83/100</f>
        <v>42.271710000000006</v>
      </c>
    </row>
    <row r="99" spans="1:10" ht="19.5" customHeight="1" x14ac:dyDescent="0.3">
      <c r="A99" s="489" t="s">
        <v>71</v>
      </c>
      <c r="B99" s="503"/>
      <c r="C99" s="358" t="s">
        <v>109</v>
      </c>
      <c r="D99" s="362">
        <f>D98/$B$98</f>
        <v>0.1533532</v>
      </c>
      <c r="E99" s="295"/>
      <c r="F99" s="298">
        <f>F98/$B$98</f>
        <v>0.16908684000000002</v>
      </c>
      <c r="G99" s="363"/>
      <c r="H99" s="287"/>
    </row>
    <row r="100" spans="1:10" ht="19.5" customHeight="1" x14ac:dyDescent="0.3">
      <c r="A100" s="491"/>
      <c r="B100" s="504"/>
      <c r="C100" s="358" t="s">
        <v>73</v>
      </c>
      <c r="D100" s="364">
        <f>$B$56/$B$116</f>
        <v>0.17777777777777778</v>
      </c>
      <c r="F100" s="303"/>
      <c r="G100" s="365"/>
      <c r="H100" s="287"/>
    </row>
    <row r="101" spans="1:10" ht="18.75" x14ac:dyDescent="0.3">
      <c r="C101" s="358" t="s">
        <v>74</v>
      </c>
      <c r="D101" s="359">
        <f>D100*$B$98</f>
        <v>44.444444444444443</v>
      </c>
      <c r="F101" s="303"/>
      <c r="G101" s="363"/>
      <c r="H101" s="287"/>
    </row>
    <row r="102" spans="1:10" ht="19.5" customHeight="1" x14ac:dyDescent="0.3">
      <c r="C102" s="366" t="s">
        <v>75</v>
      </c>
      <c r="D102" s="367">
        <f>D101/B34</f>
        <v>44.444444444444443</v>
      </c>
      <c r="F102" s="307"/>
      <c r="G102" s="363"/>
      <c r="H102" s="287"/>
      <c r="J102" s="368"/>
    </row>
    <row r="103" spans="1:10" ht="18.75" x14ac:dyDescent="0.3">
      <c r="C103" s="369" t="s">
        <v>110</v>
      </c>
      <c r="D103" s="370">
        <f>AVERAGE(E91:E94,G91:G94)</f>
        <v>112267782.40195344</v>
      </c>
      <c r="F103" s="307"/>
      <c r="G103" s="371"/>
      <c r="H103" s="287"/>
      <c r="J103" s="372"/>
    </row>
    <row r="104" spans="1:10" ht="18.75" x14ac:dyDescent="0.3">
      <c r="C104" s="337" t="s">
        <v>77</v>
      </c>
      <c r="D104" s="373">
        <f>STDEV(E91:E94,G91:G94)/D103</f>
        <v>3.3311794381292951E-3</v>
      </c>
      <c r="F104" s="307"/>
      <c r="G104" s="363"/>
      <c r="H104" s="287"/>
      <c r="J104" s="372"/>
    </row>
    <row r="105" spans="1:10" ht="19.5" customHeight="1" x14ac:dyDescent="0.3">
      <c r="C105" s="339" t="s">
        <v>20</v>
      </c>
      <c r="D105" s="374">
        <f>COUNT(E91:E94,G91:G94)</f>
        <v>6</v>
      </c>
      <c r="F105" s="307"/>
      <c r="G105" s="363"/>
      <c r="H105" s="287"/>
      <c r="J105" s="372"/>
    </row>
    <row r="106" spans="1:10" ht="19.5" customHeight="1" x14ac:dyDescent="0.3">
      <c r="A106" s="311"/>
      <c r="B106" s="311"/>
      <c r="C106" s="311"/>
      <c r="D106" s="311"/>
      <c r="E106" s="311"/>
    </row>
    <row r="107" spans="1:10" ht="26.25" customHeight="1" x14ac:dyDescent="0.4">
      <c r="A107" s="259" t="s">
        <v>111</v>
      </c>
      <c r="B107" s="260">
        <v>900</v>
      </c>
      <c r="C107" s="375" t="s">
        <v>112</v>
      </c>
      <c r="D107" s="376" t="s">
        <v>56</v>
      </c>
      <c r="E107" s="377" t="s">
        <v>113</v>
      </c>
      <c r="F107" s="378" t="s">
        <v>114</v>
      </c>
    </row>
    <row r="108" spans="1:10" ht="26.25" customHeight="1" x14ac:dyDescent="0.4">
      <c r="A108" s="261" t="s">
        <v>115</v>
      </c>
      <c r="B108" s="262">
        <v>5</v>
      </c>
      <c r="C108" s="379">
        <v>1</v>
      </c>
      <c r="D108" s="380">
        <v>98987361</v>
      </c>
      <c r="E108" s="415">
        <f>IF(ISBLANK(D108),"-",D108/$D$103*$D$100*$B$116)</f>
        <v>705.36610865328817</v>
      </c>
      <c r="F108" s="381">
        <f t="shared" ref="F108:F113" si="1">IF(ISBLANK(D108), "-", E108/$B$56)</f>
        <v>0.88170763581661016</v>
      </c>
    </row>
    <row r="109" spans="1:10" ht="26.25" customHeight="1" x14ac:dyDescent="0.4">
      <c r="A109" s="261" t="s">
        <v>88</v>
      </c>
      <c r="B109" s="262">
        <v>25</v>
      </c>
      <c r="C109" s="379">
        <v>2</v>
      </c>
      <c r="D109" s="380">
        <v>99008163</v>
      </c>
      <c r="E109" s="416">
        <f t="shared" ref="E108:E113" si="2">IF(ISBLANK(D109),"-",D109/$D$103*$D$100*$B$116)</f>
        <v>705.51433995922434</v>
      </c>
      <c r="F109" s="382">
        <f>IF(ISBLANK(D109), "-", E109/$B$56)</f>
        <v>0.88189292494903038</v>
      </c>
    </row>
    <row r="110" spans="1:10" ht="26.25" customHeight="1" x14ac:dyDescent="0.4">
      <c r="A110" s="261" t="s">
        <v>89</v>
      </c>
      <c r="B110" s="262">
        <v>1</v>
      </c>
      <c r="C110" s="379">
        <v>3</v>
      </c>
      <c r="D110" s="380">
        <v>99247509</v>
      </c>
      <c r="E110" s="416">
        <f t="shared" si="2"/>
        <v>707.21987645334025</v>
      </c>
      <c r="F110" s="382">
        <f t="shared" si="1"/>
        <v>0.88402484556667527</v>
      </c>
    </row>
    <row r="111" spans="1:10" ht="26.25" customHeight="1" x14ac:dyDescent="0.4">
      <c r="A111" s="261" t="s">
        <v>90</v>
      </c>
      <c r="B111" s="262">
        <v>1</v>
      </c>
      <c r="C111" s="379">
        <v>4</v>
      </c>
      <c r="D111" s="380">
        <v>99036185</v>
      </c>
      <c r="E111" s="416">
        <f t="shared" si="2"/>
        <v>705.71401968496912</v>
      </c>
      <c r="F111" s="382">
        <f>IF(ISBLANK(D111), "-", E111/$B$56)</f>
        <v>0.88214252460621134</v>
      </c>
    </row>
    <row r="112" spans="1:10" ht="26.25" customHeight="1" x14ac:dyDescent="0.4">
      <c r="A112" s="261" t="s">
        <v>91</v>
      </c>
      <c r="B112" s="262">
        <v>1</v>
      </c>
      <c r="C112" s="379">
        <v>5</v>
      </c>
      <c r="D112" s="380">
        <v>98988653</v>
      </c>
      <c r="E112" s="416">
        <f t="shared" si="2"/>
        <v>705.37531521262235</v>
      </c>
      <c r="F112" s="382">
        <f t="shared" si="1"/>
        <v>0.88171914401577789</v>
      </c>
    </row>
    <row r="113" spans="1:10" ht="26.25" customHeight="1" x14ac:dyDescent="0.4">
      <c r="A113" s="261" t="s">
        <v>93</v>
      </c>
      <c r="B113" s="262">
        <v>1</v>
      </c>
      <c r="C113" s="383">
        <v>6</v>
      </c>
      <c r="D113" s="384">
        <v>99061060</v>
      </c>
      <c r="E113" s="417">
        <f t="shared" si="2"/>
        <v>705.8912744554317</v>
      </c>
      <c r="F113" s="385">
        <f>IF(ISBLANK(D113), "-", E113/$B$56)</f>
        <v>0.88236409306928965</v>
      </c>
    </row>
    <row r="114" spans="1:10" ht="26.25" customHeight="1" x14ac:dyDescent="0.4">
      <c r="A114" s="261" t="s">
        <v>94</v>
      </c>
      <c r="B114" s="262">
        <v>1</v>
      </c>
      <c r="C114" s="379"/>
      <c r="D114" s="334"/>
      <c r="E114" s="235"/>
      <c r="F114" s="386"/>
    </row>
    <row r="115" spans="1:10" ht="26.25" customHeight="1" x14ac:dyDescent="0.4">
      <c r="A115" s="261" t="s">
        <v>95</v>
      </c>
      <c r="B115" s="262">
        <v>1</v>
      </c>
      <c r="C115" s="379"/>
      <c r="D115" s="387"/>
      <c r="E115" s="388" t="s">
        <v>64</v>
      </c>
      <c r="F115" s="389">
        <f>AVERAGE(F108:F113)</f>
        <v>0.88230852800393256</v>
      </c>
    </row>
    <row r="116" spans="1:10" ht="27" customHeight="1" x14ac:dyDescent="0.4">
      <c r="A116" s="261" t="s">
        <v>96</v>
      </c>
      <c r="B116" s="293">
        <f>(B115/B114)*(B113/B112)*(B111/B110)*(B109/B108)*B107</f>
        <v>4500</v>
      </c>
      <c r="C116" s="390"/>
      <c r="D116" s="391"/>
      <c r="E116" s="352" t="s">
        <v>77</v>
      </c>
      <c r="F116" s="392">
        <f>STDEV(F108:F113)/F115</f>
        <v>9.9552218766677859E-4</v>
      </c>
      <c r="I116" s="235"/>
    </row>
    <row r="117" spans="1:10" ht="27" customHeight="1" x14ac:dyDescent="0.4">
      <c r="A117" s="489" t="s">
        <v>71</v>
      </c>
      <c r="B117" s="490"/>
      <c r="C117" s="393"/>
      <c r="D117" s="394"/>
      <c r="E117" s="395" t="s">
        <v>20</v>
      </c>
      <c r="F117" s="396">
        <f>COUNT(F108:F113)</f>
        <v>6</v>
      </c>
      <c r="I117" s="235"/>
      <c r="J117" s="372"/>
    </row>
    <row r="118" spans="1:10" ht="19.5" customHeight="1" x14ac:dyDescent="0.3">
      <c r="A118" s="491"/>
      <c r="B118" s="492"/>
      <c r="C118" s="235"/>
      <c r="D118" s="235"/>
      <c r="E118" s="235"/>
      <c r="F118" s="334"/>
      <c r="G118" s="235"/>
      <c r="H118" s="235"/>
      <c r="I118" s="235"/>
    </row>
    <row r="119" spans="1:10" ht="18.75" x14ac:dyDescent="0.3">
      <c r="A119" s="405"/>
      <c r="B119" s="257"/>
      <c r="C119" s="235"/>
      <c r="D119" s="235"/>
      <c r="E119" s="235"/>
      <c r="F119" s="334"/>
      <c r="G119" s="235"/>
      <c r="H119" s="235"/>
      <c r="I119" s="235"/>
    </row>
    <row r="120" spans="1:10" ht="26.25" customHeight="1" x14ac:dyDescent="0.4">
      <c r="A120" s="245" t="s">
        <v>99</v>
      </c>
      <c r="B120" s="341" t="s">
        <v>116</v>
      </c>
      <c r="C120" s="501" t="str">
        <f>B20</f>
        <v>Sulphamethoxazole</v>
      </c>
      <c r="D120" s="501"/>
      <c r="E120" s="342" t="s">
        <v>117</v>
      </c>
      <c r="F120" s="342"/>
      <c r="G120" s="343">
        <f>F115</f>
        <v>0.88230852800393256</v>
      </c>
      <c r="H120" s="235"/>
      <c r="I120" s="235"/>
    </row>
    <row r="121" spans="1:10" ht="19.5" customHeight="1" x14ac:dyDescent="0.3">
      <c r="A121" s="397"/>
      <c r="B121" s="397"/>
      <c r="C121" s="398"/>
      <c r="D121" s="398"/>
      <c r="E121" s="398"/>
      <c r="F121" s="398"/>
      <c r="G121" s="398"/>
      <c r="H121" s="398"/>
    </row>
    <row r="122" spans="1:10" ht="18.75" x14ac:dyDescent="0.3">
      <c r="B122" s="502" t="s">
        <v>26</v>
      </c>
      <c r="C122" s="502"/>
      <c r="E122" s="348" t="s">
        <v>27</v>
      </c>
      <c r="F122" s="399"/>
      <c r="G122" s="502" t="s">
        <v>28</v>
      </c>
      <c r="H122" s="502"/>
    </row>
    <row r="123" spans="1:10" ht="69.95" customHeight="1" x14ac:dyDescent="0.3">
      <c r="A123" s="400" t="s">
        <v>29</v>
      </c>
      <c r="B123" s="401" t="s">
        <v>132</v>
      </c>
      <c r="C123" s="401"/>
      <c r="E123" s="518">
        <v>42316</v>
      </c>
      <c r="F123" s="235"/>
      <c r="G123" s="402"/>
      <c r="H123" s="402"/>
    </row>
    <row r="124" spans="1:10" ht="69.95" customHeight="1" x14ac:dyDescent="0.3">
      <c r="A124" s="400" t="s">
        <v>30</v>
      </c>
      <c r="B124" s="403"/>
      <c r="C124" s="403"/>
      <c r="E124" s="403"/>
      <c r="F124" s="235"/>
      <c r="G124" s="404"/>
      <c r="H124" s="404"/>
    </row>
    <row r="125" spans="1:10" ht="18.75" x14ac:dyDescent="0.3">
      <c r="A125" s="333"/>
      <c r="B125" s="333"/>
      <c r="C125" s="334"/>
      <c r="D125" s="334"/>
      <c r="E125" s="334"/>
      <c r="F125" s="338"/>
      <c r="G125" s="334"/>
      <c r="H125" s="334"/>
      <c r="I125" s="235"/>
    </row>
    <row r="126" spans="1:10" ht="18.75" x14ac:dyDescent="0.3">
      <c r="A126" s="333"/>
      <c r="B126" s="333"/>
      <c r="C126" s="334"/>
      <c r="D126" s="334"/>
      <c r="E126" s="334"/>
      <c r="F126" s="338"/>
      <c r="G126" s="334"/>
      <c r="H126" s="334"/>
      <c r="I126" s="235"/>
    </row>
    <row r="127" spans="1:10" ht="18.75" x14ac:dyDescent="0.3">
      <c r="A127" s="333"/>
      <c r="B127" s="333"/>
      <c r="C127" s="334"/>
      <c r="D127" s="334"/>
      <c r="E127" s="334"/>
      <c r="F127" s="338"/>
      <c r="G127" s="334"/>
      <c r="H127" s="334"/>
      <c r="I127" s="235"/>
    </row>
    <row r="128" spans="1:10" ht="18.75" x14ac:dyDescent="0.3">
      <c r="A128" s="333"/>
      <c r="B128" s="333"/>
      <c r="C128" s="334"/>
      <c r="D128" s="334"/>
      <c r="E128" s="334"/>
      <c r="F128" s="338"/>
      <c r="G128" s="334"/>
      <c r="H128" s="334"/>
      <c r="I128" s="235"/>
    </row>
    <row r="129" spans="1:9" ht="18.75" x14ac:dyDescent="0.3">
      <c r="A129" s="333"/>
      <c r="B129" s="333"/>
      <c r="C129" s="334"/>
      <c r="D129" s="334"/>
      <c r="E129" s="334"/>
      <c r="F129" s="338"/>
      <c r="G129" s="334"/>
      <c r="H129" s="334"/>
      <c r="I129" s="235"/>
    </row>
    <row r="130" spans="1:9" ht="18.75" x14ac:dyDescent="0.3">
      <c r="A130" s="333"/>
      <c r="B130" s="333"/>
      <c r="C130" s="334"/>
      <c r="D130" s="334"/>
      <c r="E130" s="334"/>
      <c r="F130" s="338"/>
      <c r="G130" s="334"/>
      <c r="H130" s="334"/>
      <c r="I130" s="235"/>
    </row>
    <row r="131" spans="1:9" ht="18.75" x14ac:dyDescent="0.3">
      <c r="A131" s="333"/>
      <c r="B131" s="333"/>
      <c r="C131" s="334"/>
      <c r="D131" s="334"/>
      <c r="E131" s="334"/>
      <c r="F131" s="338"/>
      <c r="G131" s="334"/>
      <c r="H131" s="334"/>
      <c r="I131" s="235"/>
    </row>
    <row r="132" spans="1:9" ht="18.75" x14ac:dyDescent="0.3">
      <c r="A132" s="333"/>
      <c r="B132" s="333"/>
      <c r="C132" s="334"/>
      <c r="D132" s="334"/>
      <c r="E132" s="334"/>
      <c r="F132" s="338"/>
      <c r="G132" s="334"/>
      <c r="H132" s="334"/>
      <c r="I132" s="235"/>
    </row>
    <row r="133" spans="1:9" ht="18.75" x14ac:dyDescent="0.3">
      <c r="A133" s="333"/>
      <c r="B133" s="333"/>
      <c r="C133" s="334"/>
      <c r="D133" s="334"/>
      <c r="E133" s="334"/>
      <c r="F133" s="338"/>
      <c r="G133" s="334"/>
      <c r="H133" s="334"/>
      <c r="I133" s="235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8" priority="1" operator="greaterThan">
      <formula>0.02</formula>
    </cfRule>
  </conditionalFormatting>
  <conditionalFormatting sqref="D51">
    <cfRule type="cellIs" dxfId="27" priority="2" operator="greaterThan">
      <formula>0.02</formula>
    </cfRule>
  </conditionalFormatting>
  <conditionalFormatting sqref="H73">
    <cfRule type="cellIs" dxfId="26" priority="3" operator="greaterThan">
      <formula>0.02</formula>
    </cfRule>
  </conditionalFormatting>
  <conditionalFormatting sqref="D104">
    <cfRule type="cellIs" dxfId="25" priority="4" operator="greaterThan">
      <formula>0.02</formula>
    </cfRule>
  </conditionalFormatting>
  <conditionalFormatting sqref="I39">
    <cfRule type="cellIs" dxfId="24" priority="5" operator="lessThanOrEqual">
      <formula>0.02</formula>
    </cfRule>
  </conditionalFormatting>
  <conditionalFormatting sqref="I39">
    <cfRule type="cellIs" dxfId="23" priority="6" operator="greaterThan">
      <formula>0.02</formula>
    </cfRule>
  </conditionalFormatting>
  <conditionalFormatting sqref="I92">
    <cfRule type="cellIs" dxfId="22" priority="7" operator="lessThanOrEqual">
      <formula>0.02</formula>
    </cfRule>
  </conditionalFormatting>
  <conditionalFormatting sqref="I92">
    <cfRule type="cellIs" dxfId="21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53" sqref="D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3" t="s">
        <v>33</v>
      </c>
      <c r="B11" s="514"/>
      <c r="C11" s="514"/>
      <c r="D11" s="514"/>
      <c r="E11" s="514"/>
      <c r="F11" s="515"/>
      <c r="G11" s="457"/>
    </row>
    <row r="12" spans="1:7" ht="16.5" customHeight="1" x14ac:dyDescent="0.3">
      <c r="A12" s="512" t="s">
        <v>118</v>
      </c>
      <c r="B12" s="512"/>
      <c r="C12" s="512"/>
      <c r="D12" s="512"/>
      <c r="E12" s="512"/>
      <c r="F12" s="512"/>
      <c r="G12" s="456"/>
    </row>
    <row r="14" spans="1:7" ht="16.5" customHeight="1" x14ac:dyDescent="0.3">
      <c r="A14" s="517" t="s">
        <v>35</v>
      </c>
      <c r="B14" s="517"/>
      <c r="C14" s="426" t="s">
        <v>5</v>
      </c>
    </row>
    <row r="15" spans="1:7" ht="16.5" customHeight="1" x14ac:dyDescent="0.3">
      <c r="A15" s="517" t="s">
        <v>36</v>
      </c>
      <c r="B15" s="517"/>
      <c r="C15" s="426" t="s">
        <v>7</v>
      </c>
    </row>
    <row r="16" spans="1:7" ht="16.5" customHeight="1" x14ac:dyDescent="0.3">
      <c r="A16" s="517" t="s">
        <v>37</v>
      </c>
      <c r="B16" s="517"/>
      <c r="C16" s="426" t="s">
        <v>9</v>
      </c>
    </row>
    <row r="17" spans="1:5" ht="16.5" customHeight="1" x14ac:dyDescent="0.3">
      <c r="A17" s="517" t="s">
        <v>38</v>
      </c>
      <c r="B17" s="517"/>
      <c r="C17" s="426" t="s">
        <v>11</v>
      </c>
    </row>
    <row r="18" spans="1:5" ht="16.5" customHeight="1" x14ac:dyDescent="0.3">
      <c r="A18" s="517" t="s">
        <v>39</v>
      </c>
      <c r="B18" s="517"/>
      <c r="C18" s="463" t="s">
        <v>12</v>
      </c>
    </row>
    <row r="19" spans="1:5" ht="16.5" customHeight="1" x14ac:dyDescent="0.3">
      <c r="A19" s="517" t="s">
        <v>40</v>
      </c>
      <c r="B19" s="517"/>
      <c r="C19" s="463" t="e">
        <f>#REF!</f>
        <v>#REF!</v>
      </c>
    </row>
    <row r="20" spans="1:5" ht="16.5" customHeight="1" x14ac:dyDescent="0.3">
      <c r="A20" s="428"/>
      <c r="B20" s="428"/>
      <c r="C20" s="443"/>
    </row>
    <row r="21" spans="1:5" ht="16.5" customHeight="1" x14ac:dyDescent="0.3">
      <c r="A21" s="512" t="s">
        <v>1</v>
      </c>
      <c r="B21" s="512"/>
      <c r="C21" s="425" t="s">
        <v>119</v>
      </c>
      <c r="D21" s="432"/>
    </row>
    <row r="22" spans="1:5" ht="15.75" customHeight="1" x14ac:dyDescent="0.3">
      <c r="A22" s="516"/>
      <c r="B22" s="516"/>
      <c r="C22" s="423"/>
      <c r="D22" s="516"/>
      <c r="E22" s="516"/>
    </row>
    <row r="23" spans="1:5" ht="33.75" customHeight="1" x14ac:dyDescent="0.3">
      <c r="C23" s="452" t="s">
        <v>120</v>
      </c>
      <c r="D23" s="451" t="s">
        <v>121</v>
      </c>
      <c r="E23" s="418"/>
    </row>
    <row r="24" spans="1:5" ht="15.75" customHeight="1" x14ac:dyDescent="0.3">
      <c r="C24" s="461">
        <v>1041.2</v>
      </c>
      <c r="D24" s="453">
        <f t="shared" ref="D24:D43" si="0">(C24-$C$46)/$C$46</f>
        <v>2.7043423668642491E-4</v>
      </c>
      <c r="E24" s="419"/>
    </row>
    <row r="25" spans="1:5" ht="15.75" customHeight="1" x14ac:dyDescent="0.3">
      <c r="C25" s="461">
        <v>1042.8599999999999</v>
      </c>
      <c r="D25" s="454">
        <f t="shared" si="0"/>
        <v>1.8651796466295232E-3</v>
      </c>
      <c r="E25" s="419"/>
    </row>
    <row r="26" spans="1:5" ht="15.75" customHeight="1" x14ac:dyDescent="0.3">
      <c r="C26" s="461">
        <v>1048.9000000000001</v>
      </c>
      <c r="D26" s="454">
        <f t="shared" si="0"/>
        <v>7.6677472828087173E-3</v>
      </c>
      <c r="E26" s="419"/>
    </row>
    <row r="27" spans="1:5" ht="15.75" customHeight="1" x14ac:dyDescent="0.3">
      <c r="C27" s="461">
        <v>1042.0899999999999</v>
      </c>
      <c r="D27" s="454">
        <f t="shared" si="0"/>
        <v>1.1254483420173158E-3</v>
      </c>
      <c r="E27" s="419"/>
    </row>
    <row r="28" spans="1:5" ht="15.75" customHeight="1" x14ac:dyDescent="0.3">
      <c r="C28" s="461">
        <v>1027.96</v>
      </c>
      <c r="D28" s="454">
        <f t="shared" si="0"/>
        <v>-1.2449101442619891E-2</v>
      </c>
      <c r="E28" s="419"/>
    </row>
    <row r="29" spans="1:5" ht="15.75" customHeight="1" x14ac:dyDescent="0.3">
      <c r="C29" s="461">
        <v>1033.74</v>
      </c>
      <c r="D29" s="454">
        <f t="shared" si="0"/>
        <v>-6.8963132079982821E-3</v>
      </c>
      <c r="E29" s="419"/>
    </row>
    <row r="30" spans="1:5" ht="15.75" customHeight="1" x14ac:dyDescent="0.3">
      <c r="C30" s="461">
        <v>1042.3599999999999</v>
      </c>
      <c r="D30" s="454">
        <f t="shared" si="0"/>
        <v>1.3848346436345718E-3</v>
      </c>
      <c r="E30" s="419"/>
    </row>
    <row r="31" spans="1:5" ht="15.75" customHeight="1" x14ac:dyDescent="0.3">
      <c r="C31" s="461">
        <v>1043.67</v>
      </c>
      <c r="D31" s="454">
        <f t="shared" si="0"/>
        <v>2.64333855148151E-3</v>
      </c>
      <c r="E31" s="419"/>
    </row>
    <row r="32" spans="1:5" ht="15.75" customHeight="1" x14ac:dyDescent="0.3">
      <c r="C32" s="461">
        <v>1037.04</v>
      </c>
      <c r="D32" s="454">
        <f t="shared" si="0"/>
        <v>-3.7260361882316476E-3</v>
      </c>
      <c r="E32" s="419"/>
    </row>
    <row r="33" spans="1:7" ht="15.75" customHeight="1" x14ac:dyDescent="0.3">
      <c r="C33" s="461">
        <v>1015.33</v>
      </c>
      <c r="D33" s="454">
        <f t="shared" si="0"/>
        <v>-2.4582616218272353E-2</v>
      </c>
      <c r="E33" s="419"/>
    </row>
    <row r="34" spans="1:7" ht="15.75" customHeight="1" x14ac:dyDescent="0.3">
      <c r="C34" s="461">
        <v>1048.23</v>
      </c>
      <c r="D34" s="454">
        <f t="shared" si="0"/>
        <v>7.0240849787954127E-3</v>
      </c>
      <c r="E34" s="419"/>
    </row>
    <row r="35" spans="1:7" ht="15.75" customHeight="1" x14ac:dyDescent="0.3">
      <c r="C35" s="461">
        <v>1048.1300000000001</v>
      </c>
      <c r="D35" s="454">
        <f t="shared" si="0"/>
        <v>6.9280159781965099E-3</v>
      </c>
      <c r="E35" s="419"/>
    </row>
    <row r="36" spans="1:7" ht="15.75" customHeight="1" x14ac:dyDescent="0.3">
      <c r="C36" s="461">
        <v>1042.1199999999999</v>
      </c>
      <c r="D36" s="454">
        <f t="shared" si="0"/>
        <v>1.1542690421969867E-3</v>
      </c>
      <c r="E36" s="419"/>
    </row>
    <row r="37" spans="1:7" ht="15.75" customHeight="1" x14ac:dyDescent="0.3">
      <c r="C37" s="461">
        <v>1047.47</v>
      </c>
      <c r="D37" s="454">
        <f t="shared" si="0"/>
        <v>6.2939605742430953E-3</v>
      </c>
      <c r="E37" s="419"/>
    </row>
    <row r="38" spans="1:7" ht="15.75" customHeight="1" x14ac:dyDescent="0.3">
      <c r="C38" s="461">
        <v>1046.75</v>
      </c>
      <c r="D38" s="454">
        <f t="shared" si="0"/>
        <v>5.6022637699303397E-3</v>
      </c>
      <c r="E38" s="419"/>
    </row>
    <row r="39" spans="1:7" ht="15.75" customHeight="1" x14ac:dyDescent="0.3">
      <c r="C39" s="461">
        <v>1040.42</v>
      </c>
      <c r="D39" s="454">
        <f t="shared" si="0"/>
        <v>-4.7890396798567277E-4</v>
      </c>
      <c r="E39" s="419"/>
    </row>
    <row r="40" spans="1:7" ht="15.75" customHeight="1" x14ac:dyDescent="0.3">
      <c r="C40" s="461">
        <v>1037.5999999999999</v>
      </c>
      <c r="D40" s="454">
        <f t="shared" si="0"/>
        <v>-3.1880497848773546E-3</v>
      </c>
      <c r="E40" s="419"/>
    </row>
    <row r="41" spans="1:7" ht="15.75" customHeight="1" x14ac:dyDescent="0.3">
      <c r="C41" s="461">
        <v>1043.77</v>
      </c>
      <c r="D41" s="454">
        <f t="shared" si="0"/>
        <v>2.7394075520804128E-3</v>
      </c>
      <c r="E41" s="419"/>
    </row>
    <row r="42" spans="1:7" ht="15.75" customHeight="1" x14ac:dyDescent="0.3">
      <c r="C42" s="461">
        <v>1045.69</v>
      </c>
      <c r="D42" s="454">
        <f t="shared" si="0"/>
        <v>4.5839323635810955E-3</v>
      </c>
      <c r="E42" s="419"/>
    </row>
    <row r="43" spans="1:7" ht="16.5" customHeight="1" x14ac:dyDescent="0.3">
      <c r="C43" s="462">
        <v>1043.04</v>
      </c>
      <c r="D43" s="455">
        <f t="shared" si="0"/>
        <v>2.0381038477077667E-3</v>
      </c>
      <c r="E43" s="419"/>
    </row>
    <row r="44" spans="1:7" ht="16.5" customHeight="1" x14ac:dyDescent="0.3">
      <c r="C44" s="420"/>
      <c r="D44" s="419"/>
      <c r="E44" s="421"/>
    </row>
    <row r="45" spans="1:7" ht="16.5" customHeight="1" x14ac:dyDescent="0.3">
      <c r="B45" s="448" t="s">
        <v>122</v>
      </c>
      <c r="C45" s="449">
        <f>SUM(C24:C44)</f>
        <v>20818.369999999995</v>
      </c>
      <c r="D45" s="444"/>
      <c r="E45" s="420"/>
    </row>
    <row r="46" spans="1:7" ht="17.25" customHeight="1" x14ac:dyDescent="0.3">
      <c r="B46" s="448" t="s">
        <v>123</v>
      </c>
      <c r="C46" s="450">
        <f>AVERAGE(C24:C44)</f>
        <v>1040.9184999999998</v>
      </c>
      <c r="E46" s="422"/>
    </row>
    <row r="47" spans="1:7" ht="17.25" customHeight="1" x14ac:dyDescent="0.3">
      <c r="A47" s="426"/>
      <c r="B47" s="445"/>
      <c r="D47" s="424"/>
      <c r="E47" s="422"/>
    </row>
    <row r="48" spans="1:7" ht="33.75" customHeight="1" x14ac:dyDescent="0.3">
      <c r="B48" s="458" t="s">
        <v>123</v>
      </c>
      <c r="C48" s="451" t="s">
        <v>124</v>
      </c>
      <c r="D48" s="446"/>
      <c r="G48" s="424"/>
    </row>
    <row r="49" spans="1:6" ht="17.25" customHeight="1" x14ac:dyDescent="0.3">
      <c r="B49" s="510">
        <f>C46</f>
        <v>1040.9184999999998</v>
      </c>
      <c r="C49" s="459">
        <f>-IF(C46&lt;=80,10%,IF(C46&lt;250,7.5%,5%))</f>
        <v>-0.05</v>
      </c>
      <c r="D49" s="447">
        <f>IF(C46&lt;=80,C46*0.9,IF(C46&lt;250,C46*0.925,C46*0.95))</f>
        <v>988.87257499999976</v>
      </c>
    </row>
    <row r="50" spans="1:6" ht="17.25" customHeight="1" x14ac:dyDescent="0.3">
      <c r="B50" s="511"/>
      <c r="C50" s="460">
        <f>IF(C46&lt;=80, 10%, IF(C46&lt;250, 7.5%, 5%))</f>
        <v>0.05</v>
      </c>
      <c r="D50" s="447">
        <f>IF(C46&lt;=80, C46*1.1, IF(C46&lt;250, C46*1.075, C46*1.05))</f>
        <v>1092.9644249999999</v>
      </c>
    </row>
    <row r="51" spans="1:6" ht="16.5" customHeight="1" x14ac:dyDescent="0.3">
      <c r="A51" s="429"/>
      <c r="B51" s="430"/>
      <c r="C51" s="426"/>
      <c r="D51" s="431"/>
      <c r="E51" s="426"/>
      <c r="F51" s="432"/>
    </row>
    <row r="52" spans="1:6" ht="16.5" customHeight="1" x14ac:dyDescent="0.3">
      <c r="A52" s="426"/>
      <c r="B52" s="433" t="s">
        <v>26</v>
      </c>
      <c r="C52" s="433"/>
      <c r="D52" s="434" t="s">
        <v>27</v>
      </c>
      <c r="E52" s="435"/>
      <c r="F52" s="434" t="s">
        <v>28</v>
      </c>
    </row>
    <row r="53" spans="1:6" ht="34.5" customHeight="1" x14ac:dyDescent="0.3">
      <c r="A53" s="436" t="s">
        <v>29</v>
      </c>
      <c r="B53" s="437" t="s">
        <v>132</v>
      </c>
      <c r="C53" s="438"/>
      <c r="D53" s="520">
        <v>42316</v>
      </c>
      <c r="E53" s="427"/>
      <c r="F53" s="439"/>
    </row>
    <row r="54" spans="1:6" ht="34.5" customHeight="1" x14ac:dyDescent="0.3">
      <c r="A54" s="436" t="s">
        <v>30</v>
      </c>
      <c r="B54" s="440"/>
      <c r="C54" s="441"/>
      <c r="D54" s="440"/>
      <c r="E54" s="427"/>
      <c r="F54" s="442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9"/>
  <sheetViews>
    <sheetView workbookViewId="0">
      <selection activeCell="K29" sqref="K29"/>
    </sheetView>
  </sheetViews>
  <sheetFormatPr defaultRowHeight="12.75" x14ac:dyDescent="0.2"/>
  <sheetData>
    <row r="29" spans="11:11" x14ac:dyDescent="0.2">
      <c r="K29">
        <f>8/50*10/50</f>
        <v>3.2000000000000001E-2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SST (2)</vt:lpstr>
      <vt:lpstr>Trimethoprim</vt:lpstr>
      <vt:lpstr>SST</vt:lpstr>
      <vt:lpstr>Sulphamethoxazole</vt:lpstr>
      <vt:lpstr>Uniformity</vt:lpstr>
      <vt:lpstr>Sheet3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dcterms:created xsi:type="dcterms:W3CDTF">2005-07-05T10:19:27Z</dcterms:created>
  <dcterms:modified xsi:type="dcterms:W3CDTF">2015-08-11T09:27:35Z</dcterms:modified>
</cp:coreProperties>
</file>