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tabRatio="889" activeTab="6"/>
  </bookViews>
  <sheets>
    <sheet name="Uniformity" sheetId="2" r:id="rId1"/>
    <sheet name="SST(EFV)" sheetId="27" r:id="rId2"/>
    <sheet name="SST(TEN)" sheetId="26" r:id="rId3"/>
    <sheet name="SST(LAM)" sheetId="1" r:id="rId4"/>
    <sheet name="Efavirenz" sheetId="3" r:id="rId5"/>
    <sheet name="Lamivudine" sheetId="4" r:id="rId6"/>
    <sheet name="Tenofovir Didoproxil Fumerate" sheetId="5" r:id="rId7"/>
    <sheet name="Sheet1" sheetId="25" r:id="rId8"/>
  </sheets>
  <definedNames>
    <definedName name="_xlnm.Print_Area" localSheetId="0">Uniformity!$A$1:$P$54</definedName>
  </definedNames>
  <calcPr calcId="145621"/>
</workbook>
</file>

<file path=xl/calcChain.xml><?xml version="1.0" encoding="utf-8"?>
<calcChain xmlns="http://schemas.openxmlformats.org/spreadsheetml/2006/main">
  <c r="F115" i="5" l="1"/>
  <c r="E108" i="5"/>
  <c r="F108" i="5" s="1"/>
  <c r="E109" i="5"/>
  <c r="F109" i="5" s="1"/>
  <c r="E110" i="5"/>
  <c r="F110" i="5" s="1"/>
  <c r="E111" i="5"/>
  <c r="E112" i="5"/>
  <c r="F112" i="5" s="1"/>
  <c r="F115" i="3"/>
  <c r="E108" i="3"/>
  <c r="E109" i="3"/>
  <c r="F109" i="3" s="1"/>
  <c r="E110" i="3"/>
  <c r="F110" i="3" s="1"/>
  <c r="E111" i="3"/>
  <c r="E112" i="3"/>
  <c r="F111" i="5"/>
  <c r="F108" i="3"/>
  <c r="F111" i="3"/>
  <c r="F112" i="3"/>
  <c r="F115" i="4"/>
  <c r="F108" i="4"/>
  <c r="F109" i="4"/>
  <c r="F110" i="4"/>
  <c r="F111" i="4"/>
  <c r="F112" i="4"/>
  <c r="F113" i="3"/>
  <c r="G120" i="5" l="1"/>
  <c r="G120" i="3"/>
  <c r="G42" i="3" l="1"/>
  <c r="G42" i="4" l="1"/>
  <c r="B30" i="5" l="1"/>
  <c r="L19" i="25" l="1"/>
  <c r="I30" i="25"/>
  <c r="I31" i="25"/>
  <c r="B69" i="3"/>
  <c r="B53" i="27"/>
  <c r="E51" i="27"/>
  <c r="D51" i="27"/>
  <c r="C51" i="27"/>
  <c r="B51" i="27"/>
  <c r="B52" i="27" s="1"/>
  <c r="B32" i="27"/>
  <c r="E30" i="27"/>
  <c r="D30" i="27"/>
  <c r="C30" i="27"/>
  <c r="B30" i="27"/>
  <c r="B31" i="27" s="1"/>
  <c r="B53" i="26"/>
  <c r="E51" i="26"/>
  <c r="D51" i="26"/>
  <c r="C51" i="26"/>
  <c r="B51" i="26"/>
  <c r="B52" i="26" s="1"/>
  <c r="B32" i="26"/>
  <c r="E30" i="26"/>
  <c r="D30" i="26"/>
  <c r="C30" i="26"/>
  <c r="B30" i="26"/>
  <c r="B31" i="26" s="1"/>
  <c r="B116" i="5" l="1"/>
  <c r="I35" i="25"/>
  <c r="B98" i="4"/>
  <c r="D101" i="4" s="1"/>
  <c r="H71" i="3" l="1"/>
  <c r="B98" i="3"/>
  <c r="J35" i="25"/>
  <c r="J34" i="25"/>
  <c r="B87" i="5"/>
  <c r="H71" i="4"/>
  <c r="G41" i="5"/>
  <c r="B45" i="5"/>
  <c r="B34" i="4"/>
  <c r="B34" i="3"/>
  <c r="F44" i="4"/>
  <c r="C120" i="5"/>
  <c r="B98" i="5"/>
  <c r="F97" i="5"/>
  <c r="F95" i="5"/>
  <c r="D95" i="5"/>
  <c r="D97" i="5"/>
  <c r="B81" i="5"/>
  <c r="B83" i="5" s="1"/>
  <c r="B80" i="5"/>
  <c r="B79" i="5"/>
  <c r="C76" i="5"/>
  <c r="B68" i="5"/>
  <c r="B69" i="5" s="1"/>
  <c r="C56" i="5"/>
  <c r="B55" i="5"/>
  <c r="D48" i="5"/>
  <c r="F42" i="5"/>
  <c r="D42" i="5"/>
  <c r="B34" i="5"/>
  <c r="D44" i="5" s="1"/>
  <c r="C120" i="4"/>
  <c r="B116" i="4"/>
  <c r="F95" i="4"/>
  <c r="D95" i="4"/>
  <c r="B87" i="4"/>
  <c r="F97" i="4" s="1"/>
  <c r="B81" i="4"/>
  <c r="B83" i="4" s="1"/>
  <c r="B80" i="4"/>
  <c r="B79" i="4"/>
  <c r="C76" i="4"/>
  <c r="B68" i="4"/>
  <c r="B69" i="4" s="1"/>
  <c r="C56" i="4"/>
  <c r="B55" i="4"/>
  <c r="B45" i="4"/>
  <c r="D48" i="4" s="1"/>
  <c r="F42" i="4"/>
  <c r="D42" i="4"/>
  <c r="D44" i="4"/>
  <c r="B30" i="4"/>
  <c r="C120" i="3"/>
  <c r="B116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F44" i="3"/>
  <c r="B30" i="3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5" l="1"/>
  <c r="G38" i="3"/>
  <c r="I92" i="4"/>
  <c r="G40" i="3"/>
  <c r="D97" i="3"/>
  <c r="D98" i="3" s="1"/>
  <c r="D101" i="3"/>
  <c r="I92" i="3"/>
  <c r="D101" i="5"/>
  <c r="I92" i="5"/>
  <c r="F44" i="5"/>
  <c r="D45" i="5"/>
  <c r="D46" i="5" s="1"/>
  <c r="F98" i="5"/>
  <c r="F99" i="5" s="1"/>
  <c r="D98" i="5"/>
  <c r="D99" i="5" s="1"/>
  <c r="F45" i="5"/>
  <c r="G38" i="5" s="1"/>
  <c r="D49" i="4"/>
  <c r="D45" i="4"/>
  <c r="D46" i="4" s="1"/>
  <c r="I39" i="4"/>
  <c r="D45" i="3"/>
  <c r="D46" i="3" s="1"/>
  <c r="F45" i="3"/>
  <c r="F46" i="3" s="1"/>
  <c r="F98" i="3"/>
  <c r="I39" i="3"/>
  <c r="D49" i="3"/>
  <c r="G41" i="3"/>
  <c r="E41" i="3"/>
  <c r="E94" i="3"/>
  <c r="G94" i="3"/>
  <c r="F98" i="4"/>
  <c r="D102" i="5"/>
  <c r="G94" i="4"/>
  <c r="D49" i="5"/>
  <c r="E38" i="4"/>
  <c r="D97" i="4"/>
  <c r="D98" i="4" s="1"/>
  <c r="D99" i="4" s="1"/>
  <c r="C50" i="2"/>
  <c r="F45" i="4"/>
  <c r="G38" i="4" s="1"/>
  <c r="E41" i="4"/>
  <c r="E39" i="3" l="1"/>
  <c r="G91" i="3"/>
  <c r="G93" i="3"/>
  <c r="F99" i="4"/>
  <c r="G91" i="4"/>
  <c r="G93" i="4"/>
  <c r="G39" i="5"/>
  <c r="G91" i="5"/>
  <c r="F99" i="3"/>
  <c r="G40" i="5"/>
  <c r="E38" i="3"/>
  <c r="G92" i="5"/>
  <c r="D102" i="4"/>
  <c r="G92" i="4"/>
  <c r="E91" i="4"/>
  <c r="D99" i="3"/>
  <c r="E92" i="3"/>
  <c r="D102" i="3"/>
  <c r="G92" i="3"/>
  <c r="G94" i="5"/>
  <c r="G93" i="5"/>
  <c r="F46" i="5"/>
  <c r="E40" i="5"/>
  <c r="E41" i="5"/>
  <c r="E39" i="5"/>
  <c r="E94" i="5"/>
  <c r="E93" i="5"/>
  <c r="E38" i="5"/>
  <c r="E91" i="5"/>
  <c r="E92" i="5"/>
  <c r="G39" i="4"/>
  <c r="E40" i="4"/>
  <c r="E39" i="4"/>
  <c r="E92" i="4"/>
  <c r="E94" i="4"/>
  <c r="E93" i="3"/>
  <c r="E91" i="3"/>
  <c r="G39" i="3"/>
  <c r="E40" i="3"/>
  <c r="G40" i="4"/>
  <c r="G41" i="4"/>
  <c r="F46" i="4"/>
  <c r="E93" i="4"/>
  <c r="G42" i="5" l="1"/>
  <c r="G95" i="4"/>
  <c r="G95" i="3"/>
  <c r="E42" i="4"/>
  <c r="D103" i="4"/>
  <c r="D104" i="4" s="1"/>
  <c r="D50" i="3"/>
  <c r="G68" i="3" s="1"/>
  <c r="H68" i="3" s="1"/>
  <c r="E42" i="3"/>
  <c r="D105" i="4"/>
  <c r="E95" i="4"/>
  <c r="D105" i="3"/>
  <c r="E95" i="3"/>
  <c r="G95" i="5"/>
  <c r="E95" i="5"/>
  <c r="D103" i="5"/>
  <c r="E113" i="5" s="1"/>
  <c r="F113" i="5" s="1"/>
  <c r="D105" i="5"/>
  <c r="D50" i="5"/>
  <c r="G70" i="5" s="1"/>
  <c r="H70" i="5" s="1"/>
  <c r="E42" i="5"/>
  <c r="D52" i="5"/>
  <c r="D50" i="4"/>
  <c r="G60" i="4" s="1"/>
  <c r="H60" i="4" s="1"/>
  <c r="D103" i="3"/>
  <c r="D52" i="3"/>
  <c r="D52" i="4"/>
  <c r="D51" i="5"/>
  <c r="G63" i="3"/>
  <c r="H63" i="3" s="1"/>
  <c r="D51" i="3" l="1"/>
  <c r="G62" i="3"/>
  <c r="H62" i="3" s="1"/>
  <c r="G65" i="3"/>
  <c r="H65" i="3" s="1"/>
  <c r="G66" i="3"/>
  <c r="H66" i="3" s="1"/>
  <c r="G70" i="3"/>
  <c r="H70" i="3" s="1"/>
  <c r="G61" i="3"/>
  <c r="H61" i="3" s="1"/>
  <c r="G69" i="3"/>
  <c r="H69" i="3" s="1"/>
  <c r="E112" i="4"/>
  <c r="E109" i="4"/>
  <c r="E108" i="4"/>
  <c r="E111" i="4"/>
  <c r="E110" i="4"/>
  <c r="E113" i="4"/>
  <c r="F113" i="4" s="1"/>
  <c r="D104" i="3"/>
  <c r="D104" i="5"/>
  <c r="G62" i="5"/>
  <c r="H62" i="5" s="1"/>
  <c r="G69" i="5"/>
  <c r="H69" i="5" s="1"/>
  <c r="G68" i="5"/>
  <c r="H68" i="5" s="1"/>
  <c r="G63" i="5"/>
  <c r="H63" i="5" s="1"/>
  <c r="G64" i="5"/>
  <c r="H64" i="5" s="1"/>
  <c r="G65" i="5"/>
  <c r="H65" i="5" s="1"/>
  <c r="G60" i="5"/>
  <c r="H60" i="5" s="1"/>
  <c r="G71" i="5"/>
  <c r="H71" i="5" s="1"/>
  <c r="G67" i="5"/>
  <c r="H67" i="5" s="1"/>
  <c r="G66" i="5"/>
  <c r="H66" i="5" s="1"/>
  <c r="G61" i="5"/>
  <c r="H61" i="5" s="1"/>
  <c r="G67" i="4"/>
  <c r="H67" i="4" s="1"/>
  <c r="G70" i="4"/>
  <c r="H70" i="4" s="1"/>
  <c r="G68" i="4"/>
  <c r="H68" i="4" s="1"/>
  <c r="G66" i="4"/>
  <c r="H66" i="4" s="1"/>
  <c r="G61" i="4"/>
  <c r="H61" i="4" s="1"/>
  <c r="G69" i="4"/>
  <c r="H69" i="4" s="1"/>
  <c r="G63" i="4"/>
  <c r="H63" i="4" s="1"/>
  <c r="D51" i="4"/>
  <c r="G71" i="4"/>
  <c r="G62" i="4"/>
  <c r="G65" i="4"/>
  <c r="H65" i="4" s="1"/>
  <c r="G64" i="4"/>
  <c r="H64" i="4" s="1"/>
  <c r="E113" i="3"/>
  <c r="G60" i="3"/>
  <c r="H60" i="3" s="1"/>
  <c r="G71" i="3"/>
  <c r="G67" i="3"/>
  <c r="H67" i="3" s="1"/>
  <c r="G64" i="3"/>
  <c r="H64" i="3" s="1"/>
  <c r="G120" i="4" l="1"/>
  <c r="H72" i="3"/>
  <c r="G76" i="3" s="1"/>
  <c r="H72" i="4"/>
  <c r="G76" i="4" s="1"/>
  <c r="F117" i="4"/>
  <c r="F117" i="5"/>
  <c r="H72" i="5"/>
  <c r="G76" i="5" s="1"/>
  <c r="H74" i="5"/>
  <c r="H74" i="4"/>
  <c r="F117" i="3"/>
  <c r="H74" i="3"/>
  <c r="H73" i="3" l="1"/>
  <c r="H73" i="5"/>
  <c r="H73" i="4"/>
  <c r="F116" i="5"/>
  <c r="F116" i="4"/>
  <c r="F116" i="3"/>
</calcChain>
</file>

<file path=xl/sharedStrings.xml><?xml version="1.0" encoding="utf-8"?>
<sst xmlns="http://schemas.openxmlformats.org/spreadsheetml/2006/main" count="649" uniqueCount="139">
  <si>
    <t>HPLC System Suitability Report</t>
  </si>
  <si>
    <t>Analysis Data</t>
  </si>
  <si>
    <t>Assay</t>
  </si>
  <si>
    <t>Sample(s)</t>
  </si>
  <si>
    <t>Reference Substance:</t>
  </si>
  <si>
    <t>EFAVIRENZ 600MG, LAMIVUDINE 300MG AND TENOFOVIR DISOPROXIL FUMARATE 300MG TABLETS</t>
  </si>
  <si>
    <t>% age Purity:</t>
  </si>
  <si>
    <t>NDQD201504198</t>
  </si>
  <si>
    <t>Weight (mg):</t>
  </si>
  <si>
    <t>Efavirenz 600mg, Lamivudine 300mg and Tenofovir Disoproxil Fumarate 300mg Tablets</t>
  </si>
  <si>
    <t>Standard Conc (mg/mL):</t>
  </si>
  <si>
    <t>Each film-coated tablet contains Efavirenz 600mg, Lamivudine USP 300mg, Tenofovir Disoproxil Fumarate 300mg euivalent to tenofovir disoproxil 245mg</t>
  </si>
  <si>
    <t>2015-04-22 14:13:59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</si>
  <si>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</si>
  <si>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</si>
  <si>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</si>
  <si>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</si>
  <si>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</si>
  <si>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</si>
  <si>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</si>
  <si>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</si>
  <si>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</si>
  <si>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</si>
  <si>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</si>
  <si>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</si>
  <si>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</si>
  <si>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</si>
  <si>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</si>
  <si>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</si>
  <si>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</si>
  <si>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</si>
  <si>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</si>
  <si>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</si>
  <si>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</si>
  <si>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</si>
  <si>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</si>
  <si>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</si>
  <si>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</si>
  <si>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</si>
  <si>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</si>
  <si>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</si>
  <si>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</si>
  <si>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</si>
  <si>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</si>
  <si>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</si>
  <si>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</si>
  <si>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</si>
  <si>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</si>
  <si>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</si>
  <si>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</si>
  <si>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</si>
  <si>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</si>
  <si>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</si>
  <si>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</si>
  <si>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</si>
  <si>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</si>
  <si>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</si>
  <si>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</si>
  <si>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</si>
  <si>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</si>
  <si>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</si>
  <si>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</si>
  <si>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</si>
  <si>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</si>
  <si>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</si>
  <si>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</si>
  <si>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</si>
  <si>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</si>
  <si>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</si>
  <si>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</si>
  <si>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</si>
  <si>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</si>
  <si>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</si>
  <si>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</si>
  <si>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</si>
  <si>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</si>
  <si>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</si>
  <si>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</si>
  <si>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</si>
  <si>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</si>
  <si>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</si>
  <si>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</si>
  <si>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</si>
  <si>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</si>
  <si>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</si>
  <si>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</si>
  <si>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</si>
  <si>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</si>
  <si>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</si>
  <si>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</si>
  <si>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</si>
  <si>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</si>
  <si>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</si>
  <si>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</si>
  <si>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</si>
  <si>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</si>
  <si>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</si>
  <si>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</si>
  <si>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</si>
  <si>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</si>
  <si>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</si>
  <si>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</si>
  <si>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</si>
  <si>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</si>
  <si>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</si>
  <si>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</si>
  <si>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</si>
  <si>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</si>
  <si>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</si>
  <si>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</si>
  <si>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</si>
  <si>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</si>
  <si>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</si>
  <si>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</si>
  <si>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</si>
  <si>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</si>
  <si>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</si>
  <si>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</si>
  <si>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</si>
  <si>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</si>
  <si>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</si>
  <si>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</si>
  <si>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</si>
  <si>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</si>
  <si>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</si>
  <si>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 </t>
  </si>
  <si>
    <t xml:space="preserve">EFAVIRENZ </t>
  </si>
  <si>
    <t>Assay/Dissolution</t>
  </si>
  <si>
    <t>TENOFOVIR DISOPROXIL FUMARATE</t>
  </si>
  <si>
    <t>10+2</t>
  </si>
  <si>
    <t>LAMIVUDIN</t>
  </si>
  <si>
    <t>Tenofovir Disoproxil Fumerate</t>
  </si>
  <si>
    <t>Wrs T11-1</t>
  </si>
  <si>
    <t>Lamuvidine</t>
  </si>
  <si>
    <t>Prs/L3-3</t>
  </si>
  <si>
    <t>Efavirenz</t>
  </si>
  <si>
    <t>ELT301VSP19320813CM</t>
  </si>
  <si>
    <t>Michael</t>
  </si>
  <si>
    <t>21-08-2015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</si>
</sst>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5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5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5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10" fontId="13" fillId="6" borderId="27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13" fillId="7" borderId="17" xfId="0" applyNumberFormat="1" applyFont="1" applyFill="1" applyBorder="1" applyAlignment="1">
      <alignment horizontal="center"/>
    </xf>
    <xf numFmtId="165" fontId="13" fillId="6" borderId="57" xfId="0" applyNumberFormat="1" applyFont="1" applyFill="1" applyBorder="1" applyAlignment="1">
      <alignment horizontal="center"/>
    </xf>
    <xf numFmtId="0" fontId="2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11" sqref="A11:P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41" t="s">
        <v>31</v>
      </c>
      <c r="B11" s="642"/>
      <c r="C11" s="642"/>
      <c r="D11" s="642"/>
      <c r="E11" s="642"/>
      <c r="F11" s="643"/>
      <c r="G11" s="90"/>
    </row>
    <row r="12" spans="1:7" ht="16.5" customHeight="1" x14ac:dyDescent="0.3">
      <c r="A12" s="640" t="s">
        <v>32</v>
      </c>
      <c r="B12" s="640"/>
      <c r="C12" s="640"/>
      <c r="D12" s="640"/>
      <c r="E12" s="640"/>
      <c r="F12" s="640"/>
      <c r="G12" s="89"/>
    </row>
    <row r="14" spans="1:7" ht="16.5" customHeight="1" x14ac:dyDescent="0.3">
      <c r="A14" s="645" t="s">
        <v>33</v>
      </c>
      <c r="B14" s="645"/>
      <c r="C14" s="59" t="s">
        <v>5</v>
      </c>
    </row>
    <row r="15" spans="1:7" ht="16.5" customHeight="1" x14ac:dyDescent="0.3">
      <c r="A15" s="645" t="s">
        <v>34</v>
      </c>
      <c r="B15" s="645"/>
      <c r="C15" s="59" t="s">
        <v>7</v>
      </c>
    </row>
    <row r="16" spans="1:7" ht="16.5" customHeight="1" x14ac:dyDescent="0.3">
      <c r="A16" s="645" t="s">
        <v>35</v>
      </c>
      <c r="B16" s="645"/>
      <c r="C16" s="59" t="s">
        <v>9</v>
      </c>
    </row>
    <row r="17" spans="1:5" ht="16.5" customHeight="1" x14ac:dyDescent="0.3">
      <c r="A17" s="645" t="s">
        <v>36</v>
      </c>
      <c r="B17" s="645"/>
      <c r="C17" s="59" t="s">
        <v>11</v>
      </c>
    </row>
    <row r="18" spans="1:5" ht="16.5" customHeight="1" x14ac:dyDescent="0.3">
      <c r="A18" s="645" t="s">
        <v>37</v>
      </c>
      <c r="B18" s="645"/>
      <c r="C18" s="96" t="s">
        <v>12</v>
      </c>
    </row>
    <row r="19" spans="1:5" ht="16.5" customHeight="1" x14ac:dyDescent="0.3">
      <c r="A19" s="645" t="s">
        <v>38</v>
      </c>
      <c r="B19" s="645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640" t="s">
        <v>1</v>
      </c>
      <c r="B21" s="640"/>
      <c r="C21" s="58" t="s">
        <v>39</v>
      </c>
      <c r="D21" s="65"/>
    </row>
    <row r="22" spans="1:5" ht="15.75" customHeight="1" x14ac:dyDescent="0.3">
      <c r="A22" s="644"/>
      <c r="B22" s="644"/>
      <c r="C22" s="56"/>
      <c r="D22" s="644"/>
      <c r="E22" s="644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1756.83</v>
      </c>
      <c r="D24" s="86">
        <f t="shared" ref="D24:D43" si="0">(C24-$C$46)/$C$46</f>
        <v>-4.1800709611614483E-3</v>
      </c>
      <c r="E24" s="52"/>
    </row>
    <row r="25" spans="1:5" ht="15.75" customHeight="1" x14ac:dyDescent="0.3">
      <c r="C25" s="94">
        <v>1743.2</v>
      </c>
      <c r="D25" s="87">
        <f t="shared" si="0"/>
        <v>-1.1905932673904999E-2</v>
      </c>
      <c r="E25" s="52"/>
    </row>
    <row r="26" spans="1:5" ht="15.75" customHeight="1" x14ac:dyDescent="0.3">
      <c r="C26" s="94">
        <v>1763.82</v>
      </c>
      <c r="D26" s="87">
        <f t="shared" si="0"/>
        <v>-2.1794525521295503E-4</v>
      </c>
      <c r="E26" s="52"/>
    </row>
    <row r="27" spans="1:5" ht="15.75" customHeight="1" x14ac:dyDescent="0.3">
      <c r="C27" s="94">
        <v>1766.58</v>
      </c>
      <c r="D27" s="87">
        <f t="shared" si="0"/>
        <v>1.3464992295392324E-3</v>
      </c>
      <c r="E27" s="52"/>
    </row>
    <row r="28" spans="1:5" ht="15.75" customHeight="1" x14ac:dyDescent="0.3">
      <c r="C28" s="94">
        <v>1769.84</v>
      </c>
      <c r="D28" s="87">
        <f t="shared" si="0"/>
        <v>3.1943575702247881E-3</v>
      </c>
      <c r="E28" s="52"/>
    </row>
    <row r="29" spans="1:5" ht="15.75" customHeight="1" x14ac:dyDescent="0.3">
      <c r="C29" s="94">
        <v>1757.38</v>
      </c>
      <c r="D29" s="87">
        <f t="shared" si="0"/>
        <v>-3.8683157196346398E-3</v>
      </c>
      <c r="E29" s="52"/>
    </row>
    <row r="30" spans="1:5" ht="15.75" customHeight="1" x14ac:dyDescent="0.3">
      <c r="C30" s="94">
        <v>1764.3</v>
      </c>
      <c r="D30" s="87">
        <f t="shared" si="0"/>
        <v>5.413204648308877E-5</v>
      </c>
      <c r="E30" s="52"/>
    </row>
    <row r="31" spans="1:5" ht="15.75" customHeight="1" x14ac:dyDescent="0.3">
      <c r="C31" s="94">
        <v>1744.25</v>
      </c>
      <c r="D31" s="87">
        <f t="shared" si="0"/>
        <v>-1.1310763576444951E-2</v>
      </c>
      <c r="E31" s="52"/>
    </row>
    <row r="32" spans="1:5" ht="15.75" customHeight="1" x14ac:dyDescent="0.3">
      <c r="C32" s="94">
        <v>1762.29</v>
      </c>
      <c r="D32" s="87">
        <f t="shared" si="0"/>
        <v>-1.0851916543690463E-3</v>
      </c>
      <c r="E32" s="52"/>
    </row>
    <row r="33" spans="1:7" ht="15.75" customHeight="1" x14ac:dyDescent="0.3">
      <c r="C33" s="94">
        <v>1765.75</v>
      </c>
      <c r="D33" s="87">
        <f t="shared" si="0"/>
        <v>8.7603222868988236E-4</v>
      </c>
      <c r="E33" s="52"/>
    </row>
    <row r="34" spans="1:7" ht="15.75" customHeight="1" x14ac:dyDescent="0.3">
      <c r="C34" s="94">
        <v>1774.72</v>
      </c>
      <c r="D34" s="87">
        <f t="shared" si="0"/>
        <v>5.9604768041345239E-3</v>
      </c>
      <c r="E34" s="52"/>
    </row>
    <row r="35" spans="1:7" ht="15.75" customHeight="1" x14ac:dyDescent="0.3">
      <c r="C35" s="94">
        <v>1794.05</v>
      </c>
      <c r="D35" s="87">
        <f t="shared" si="0"/>
        <v>1.6917256474518499E-2</v>
      </c>
      <c r="E35" s="52"/>
    </row>
    <row r="36" spans="1:7" ht="15.75" customHeight="1" x14ac:dyDescent="0.3">
      <c r="C36" s="94">
        <v>1762.24</v>
      </c>
      <c r="D36" s="87">
        <f t="shared" si="0"/>
        <v>-1.1135330399623573E-3</v>
      </c>
      <c r="E36" s="52"/>
    </row>
    <row r="37" spans="1:7" ht="15.75" customHeight="1" x14ac:dyDescent="0.3">
      <c r="C37" s="94">
        <v>1778.48</v>
      </c>
      <c r="D37" s="87">
        <f t="shared" si="0"/>
        <v>8.0917490007534482E-3</v>
      </c>
      <c r="E37" s="52"/>
    </row>
    <row r="38" spans="1:7" ht="15.75" customHeight="1" x14ac:dyDescent="0.3">
      <c r="C38" s="94">
        <v>1769.13</v>
      </c>
      <c r="D38" s="87">
        <f t="shared" si="0"/>
        <v>2.7919098947995135E-3</v>
      </c>
      <c r="E38" s="52"/>
    </row>
    <row r="39" spans="1:7" ht="15.75" customHeight="1" x14ac:dyDescent="0.3">
      <c r="C39" s="94">
        <v>1753.3</v>
      </c>
      <c r="D39" s="87">
        <f t="shared" si="0"/>
        <v>-6.1809727840510123E-3</v>
      </c>
      <c r="E39" s="52"/>
    </row>
    <row r="40" spans="1:7" ht="15.75" customHeight="1" x14ac:dyDescent="0.3">
      <c r="C40" s="94">
        <v>1759.22</v>
      </c>
      <c r="D40" s="87">
        <f t="shared" si="0"/>
        <v>-2.8253527297998913E-3</v>
      </c>
      <c r="E40" s="52"/>
    </row>
    <row r="41" spans="1:7" ht="15.75" customHeight="1" x14ac:dyDescent="0.3">
      <c r="C41" s="94">
        <v>1758.99</v>
      </c>
      <c r="D41" s="87">
        <f t="shared" si="0"/>
        <v>-2.9557231035292507E-3</v>
      </c>
      <c r="E41" s="52"/>
    </row>
    <row r="42" spans="1:7" ht="15.75" customHeight="1" x14ac:dyDescent="0.3">
      <c r="C42" s="94">
        <v>1779.17</v>
      </c>
      <c r="D42" s="87">
        <f t="shared" si="0"/>
        <v>8.4828601219415264E-3</v>
      </c>
      <c r="E42" s="52"/>
    </row>
    <row r="43" spans="1:7" ht="16.5" customHeight="1" x14ac:dyDescent="0.3">
      <c r="C43" s="95">
        <v>1760.55</v>
      </c>
      <c r="D43" s="88">
        <f t="shared" si="0"/>
        <v>-2.071471873017173E-3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35284.090000000004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1764.2045000000003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638">
        <f>C46</f>
        <v>1764.2045000000003</v>
      </c>
      <c r="C49" s="92">
        <f>-IF(C46&lt;=80,10%,IF(C46&lt;250,7.5%,5%))</f>
        <v>-0.05</v>
      </c>
      <c r="D49" s="80">
        <f>IF(C46&lt;=80,C46*0.9,IF(C46&lt;250,C46*0.925,C46*0.95))</f>
        <v>1675.9942750000002</v>
      </c>
    </row>
    <row r="50" spans="1:6" ht="17.25" customHeight="1" x14ac:dyDescent="0.3">
      <c r="B50" s="639"/>
      <c r="C50" s="93">
        <f>IF(C46&lt;=80, 10%, IF(C46&lt;250, 7.5%, 5%))</f>
        <v>0.05</v>
      </c>
      <c r="D50" s="80">
        <f>IF(C46&lt;=80, C46*1.1, IF(C46&lt;250, C46*1.075, C46*1.05))</f>
        <v>1852.4147250000003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 t="s">
        <v>137</v>
      </c>
      <c r="C53" s="71"/>
      <c r="D53" s="70" t="s">
        <v>138</v>
      </c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landscape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60" workbookViewId="0">
      <selection activeCell="A14" sqref="A14:G62"/>
    </sheetView>
  </sheetViews>
  <sheetFormatPr defaultRowHeight="13.5" x14ac:dyDescent="0.25"/>
  <cols>
    <col min="1" max="1" width="27.5703125" style="579" customWidth="1"/>
    <col min="2" max="2" width="20.42578125" style="579" customWidth="1"/>
    <col min="3" max="3" width="31.85546875" style="579" customWidth="1"/>
    <col min="4" max="4" width="25.85546875" style="579" customWidth="1"/>
    <col min="5" max="5" width="25.7109375" style="579" customWidth="1"/>
    <col min="6" max="6" width="23.140625" style="579" customWidth="1"/>
    <col min="7" max="7" width="28.42578125" style="579" customWidth="1"/>
    <col min="8" max="8" width="21.5703125" style="579" customWidth="1"/>
    <col min="9" max="9" width="9.140625" style="579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6" t="s">
        <v>0</v>
      </c>
      <c r="B15" s="646"/>
      <c r="C15" s="646"/>
      <c r="D15" s="646"/>
      <c r="E15" s="646"/>
    </row>
    <row r="16" spans="1:6" ht="16.5" customHeight="1" x14ac:dyDescent="0.3">
      <c r="A16" s="89" t="s">
        <v>1</v>
      </c>
      <c r="B16" s="58" t="s">
        <v>127</v>
      </c>
    </row>
    <row r="17" spans="1:5" ht="16.5" customHeight="1" x14ac:dyDescent="0.3">
      <c r="A17" s="8" t="s">
        <v>3</v>
      </c>
      <c r="B17" s="8" t="s">
        <v>5</v>
      </c>
      <c r="C17" s="71"/>
      <c r="D17" s="71"/>
      <c r="E17" s="71"/>
    </row>
    <row r="18" spans="1:5" ht="16.5" customHeight="1" x14ac:dyDescent="0.3">
      <c r="A18" s="74" t="s">
        <v>4</v>
      </c>
      <c r="B18" s="579" t="s">
        <v>126</v>
      </c>
    </row>
    <row r="19" spans="1:5" ht="16.5" customHeight="1" x14ac:dyDescent="0.3">
      <c r="A19" s="74" t="s">
        <v>6</v>
      </c>
      <c r="B19" s="11">
        <v>99.3</v>
      </c>
      <c r="C19" s="71"/>
      <c r="D19" s="71"/>
      <c r="E19" s="71"/>
    </row>
    <row r="20" spans="1:5" ht="16.5" customHeight="1" x14ac:dyDescent="0.3">
      <c r="A20" s="8" t="s">
        <v>8</v>
      </c>
      <c r="B20" s="11">
        <v>29.76</v>
      </c>
      <c r="C20" s="71"/>
      <c r="D20" s="71"/>
      <c r="E20" s="71"/>
    </row>
    <row r="21" spans="1:5" ht="16.5" customHeight="1" x14ac:dyDescent="0.3">
      <c r="A21" s="8" t="s">
        <v>10</v>
      </c>
      <c r="B21" s="12">
        <v>0.12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5" t="s">
        <v>13</v>
      </c>
      <c r="B23" s="14" t="s">
        <v>14</v>
      </c>
      <c r="C23" s="15" t="s">
        <v>15</v>
      </c>
      <c r="D23" s="15" t="s">
        <v>16</v>
      </c>
      <c r="E23" s="15" t="s">
        <v>17</v>
      </c>
    </row>
    <row r="24" spans="1:5" ht="16.5" customHeight="1" x14ac:dyDescent="0.3">
      <c r="A24" s="16">
        <v>1</v>
      </c>
      <c r="B24" s="17">
        <v>38776826</v>
      </c>
      <c r="C24" s="17">
        <v>233868.79999999999</v>
      </c>
      <c r="D24" s="18">
        <v>1.28</v>
      </c>
      <c r="E24" s="19">
        <v>19.829999999999998</v>
      </c>
    </row>
    <row r="25" spans="1:5" ht="16.5" customHeight="1" x14ac:dyDescent="0.3">
      <c r="A25" s="16">
        <v>2</v>
      </c>
      <c r="B25" s="17">
        <v>38959088</v>
      </c>
      <c r="C25" s="17">
        <v>238933.2</v>
      </c>
      <c r="D25" s="18">
        <v>1.34</v>
      </c>
      <c r="E25" s="18">
        <v>19.829999999999998</v>
      </c>
    </row>
    <row r="26" spans="1:5" ht="16.5" customHeight="1" x14ac:dyDescent="0.3">
      <c r="A26" s="16">
        <v>3</v>
      </c>
      <c r="B26" s="17">
        <v>38779357</v>
      </c>
      <c r="C26" s="17">
        <v>236745.9</v>
      </c>
      <c r="D26" s="18">
        <v>1.33</v>
      </c>
      <c r="E26" s="18">
        <v>19.829999999999998</v>
      </c>
    </row>
    <row r="27" spans="1:5" ht="16.5" customHeight="1" x14ac:dyDescent="0.3">
      <c r="A27" s="16">
        <v>4</v>
      </c>
      <c r="B27" s="17">
        <v>38639337</v>
      </c>
      <c r="C27" s="17">
        <v>229866.1</v>
      </c>
      <c r="D27" s="18">
        <v>1.31</v>
      </c>
      <c r="E27" s="18">
        <v>19.829999999999998</v>
      </c>
    </row>
    <row r="28" spans="1:5" ht="16.5" customHeight="1" x14ac:dyDescent="0.3">
      <c r="A28" s="16">
        <v>5</v>
      </c>
      <c r="B28" s="17">
        <v>38632610</v>
      </c>
      <c r="C28" s="17">
        <v>231240.7</v>
      </c>
      <c r="D28" s="18">
        <v>1.29</v>
      </c>
      <c r="E28" s="18">
        <v>19.829999999999998</v>
      </c>
    </row>
    <row r="29" spans="1:5" ht="16.5" customHeight="1" x14ac:dyDescent="0.3">
      <c r="A29" s="16">
        <v>6</v>
      </c>
      <c r="B29" s="20">
        <v>38685433</v>
      </c>
      <c r="C29" s="20">
        <v>231240.7</v>
      </c>
      <c r="D29" s="21">
        <v>1.29</v>
      </c>
      <c r="E29" s="21">
        <v>19.829999999999998</v>
      </c>
    </row>
    <row r="30" spans="1:5" ht="16.5" customHeight="1" x14ac:dyDescent="0.3">
      <c r="A30" s="22" t="s">
        <v>18</v>
      </c>
      <c r="B30" s="23">
        <f>AVERAGE(B24:B29)</f>
        <v>38745441.833333336</v>
      </c>
      <c r="C30" s="24">
        <f>AVERAGE(C24:C29)</f>
        <v>233649.23333333331</v>
      </c>
      <c r="D30" s="25">
        <f>AVERAGE(D24:D29)</f>
        <v>1.3066666666666666</v>
      </c>
      <c r="E30" s="25">
        <f>AVERAGE(E24:E29)</f>
        <v>19.829999999999998</v>
      </c>
    </row>
    <row r="31" spans="1:5" ht="16.5" customHeight="1" x14ac:dyDescent="0.3">
      <c r="A31" s="26" t="s">
        <v>19</v>
      </c>
      <c r="B31" s="27">
        <f>(STDEV(B24:B29)/B30)</f>
        <v>3.1687956634843051E-3</v>
      </c>
      <c r="C31" s="28"/>
      <c r="D31" s="28"/>
      <c r="E31" s="29"/>
    </row>
    <row r="32" spans="1:5" s="579" customFormat="1" ht="16.5" customHeight="1" x14ac:dyDescent="0.3">
      <c r="A32" s="30" t="s">
        <v>20</v>
      </c>
      <c r="B32" s="31">
        <f>COUNT(B24:B29)</f>
        <v>6</v>
      </c>
      <c r="C32" s="32"/>
      <c r="D32" s="72"/>
      <c r="E32" s="34"/>
    </row>
    <row r="33" spans="1:7" s="579" customFormat="1" ht="15.75" customHeight="1" x14ac:dyDescent="0.25">
      <c r="A33" s="71"/>
      <c r="B33" s="71"/>
      <c r="C33" s="71"/>
      <c r="D33" s="71"/>
      <c r="E33" s="71"/>
    </row>
    <row r="34" spans="1:7" s="579" customFormat="1" ht="16.5" customHeight="1" x14ac:dyDescent="0.3">
      <c r="A34" s="74" t="s">
        <v>21</v>
      </c>
      <c r="B34" s="39" t="s">
        <v>22</v>
      </c>
      <c r="C34" s="38"/>
      <c r="D34" s="38"/>
      <c r="E34" s="38"/>
    </row>
    <row r="35" spans="1:7" ht="16.5" customHeight="1" x14ac:dyDescent="0.3">
      <c r="A35" s="74"/>
      <c r="B35" s="39" t="s">
        <v>23</v>
      </c>
      <c r="C35" s="38"/>
      <c r="D35" s="38"/>
      <c r="E35" s="38"/>
      <c r="G35" s="579" t="s">
        <v>125</v>
      </c>
    </row>
    <row r="36" spans="1:7" ht="16.5" customHeight="1" x14ac:dyDescent="0.3">
      <c r="A36" s="74"/>
      <c r="B36" s="39" t="s">
        <v>24</v>
      </c>
      <c r="C36" s="38"/>
      <c r="D36" s="38"/>
      <c r="E36" s="38"/>
    </row>
    <row r="37" spans="1:7" ht="15.75" customHeight="1" x14ac:dyDescent="0.25">
      <c r="A37" s="71"/>
      <c r="B37" s="71"/>
      <c r="C37" s="71"/>
      <c r="D37" s="71"/>
      <c r="E37" s="71"/>
    </row>
    <row r="38" spans="1:7" ht="16.5" customHeight="1" x14ac:dyDescent="0.3">
      <c r="A38" s="89" t="s">
        <v>1</v>
      </c>
      <c r="B38" s="58" t="s">
        <v>25</v>
      </c>
    </row>
    <row r="39" spans="1:7" ht="16.5" customHeight="1" x14ac:dyDescent="0.3">
      <c r="A39" s="74" t="s">
        <v>4</v>
      </c>
      <c r="B39" s="8"/>
      <c r="C39" s="71"/>
      <c r="D39" s="71"/>
      <c r="E39" s="71"/>
    </row>
    <row r="40" spans="1:7" ht="16.5" customHeight="1" x14ac:dyDescent="0.3">
      <c r="A40" s="74" t="s">
        <v>6</v>
      </c>
      <c r="B40" s="11"/>
      <c r="C40" s="71"/>
      <c r="D40" s="71"/>
      <c r="E40" s="71"/>
    </row>
    <row r="41" spans="1:7" ht="16.5" customHeight="1" x14ac:dyDescent="0.3">
      <c r="A41" s="8" t="s">
        <v>8</v>
      </c>
      <c r="B41" s="11"/>
      <c r="C41" s="71"/>
      <c r="D41" s="71"/>
      <c r="E41" s="71"/>
    </row>
    <row r="42" spans="1:7" ht="16.5" customHeight="1" x14ac:dyDescent="0.3">
      <c r="A42" s="8" t="s">
        <v>10</v>
      </c>
      <c r="B42" s="12"/>
      <c r="C42" s="71"/>
      <c r="D42" s="71"/>
      <c r="E42" s="71"/>
    </row>
    <row r="43" spans="1:7" ht="15.75" customHeight="1" x14ac:dyDescent="0.25">
      <c r="A43" s="71"/>
      <c r="B43" s="71"/>
      <c r="C43" s="71"/>
      <c r="D43" s="71"/>
      <c r="E43" s="71"/>
    </row>
    <row r="44" spans="1:7" ht="16.5" customHeight="1" x14ac:dyDescent="0.3">
      <c r="A44" s="15" t="s">
        <v>13</v>
      </c>
      <c r="B44" s="14" t="s">
        <v>14</v>
      </c>
      <c r="C44" s="15" t="s">
        <v>15</v>
      </c>
      <c r="D44" s="15" t="s">
        <v>16</v>
      </c>
      <c r="E44" s="15" t="s">
        <v>17</v>
      </c>
    </row>
    <row r="45" spans="1:7" ht="16.5" customHeight="1" x14ac:dyDescent="0.3">
      <c r="A45" s="16">
        <v>1</v>
      </c>
      <c r="B45" s="17"/>
      <c r="C45" s="17"/>
      <c r="D45" s="18"/>
      <c r="E45" s="19"/>
    </row>
    <row r="46" spans="1:7" ht="16.5" customHeight="1" x14ac:dyDescent="0.3">
      <c r="A46" s="16">
        <v>2</v>
      </c>
      <c r="B46" s="17"/>
      <c r="C46" s="17"/>
      <c r="D46" s="18"/>
      <c r="E46" s="18"/>
    </row>
    <row r="47" spans="1:7" ht="16.5" customHeight="1" x14ac:dyDescent="0.3">
      <c r="A47" s="16">
        <v>3</v>
      </c>
      <c r="B47" s="17"/>
      <c r="C47" s="17"/>
      <c r="D47" s="18"/>
      <c r="E47" s="18"/>
    </row>
    <row r="48" spans="1:7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19</v>
      </c>
      <c r="B52" s="27" t="e">
        <f>(STDEV(B45:B50)/B51)</f>
        <v>#DIV/0!</v>
      </c>
      <c r="C52" s="28"/>
      <c r="D52" s="28"/>
      <c r="E52" s="29"/>
    </row>
    <row r="53" spans="1:7" s="579" customFormat="1" ht="16.5" customHeight="1" x14ac:dyDescent="0.3">
      <c r="A53" s="30" t="s">
        <v>20</v>
      </c>
      <c r="B53" s="31">
        <f>COUNT(B45:B50)</f>
        <v>0</v>
      </c>
      <c r="C53" s="32"/>
      <c r="D53" s="72"/>
      <c r="E53" s="34"/>
    </row>
    <row r="54" spans="1:7" s="579" customFormat="1" ht="15.75" customHeight="1" x14ac:dyDescent="0.25">
      <c r="A54" s="71"/>
      <c r="B54" s="71"/>
      <c r="C54" s="71"/>
      <c r="D54" s="71"/>
      <c r="E54" s="71"/>
    </row>
    <row r="55" spans="1:7" s="579" customFormat="1" ht="16.5" customHeight="1" x14ac:dyDescent="0.3">
      <c r="A55" s="74" t="s">
        <v>21</v>
      </c>
      <c r="B55" s="39" t="s">
        <v>22</v>
      </c>
      <c r="C55" s="38"/>
      <c r="D55" s="38"/>
      <c r="E55" s="38"/>
    </row>
    <row r="56" spans="1:7" ht="16.5" customHeight="1" x14ac:dyDescent="0.3">
      <c r="A56" s="74"/>
      <c r="B56" s="39" t="s">
        <v>23</v>
      </c>
      <c r="C56" s="38"/>
      <c r="D56" s="38"/>
      <c r="E56" s="38"/>
    </row>
    <row r="57" spans="1:7" ht="16.5" customHeight="1" x14ac:dyDescent="0.3">
      <c r="A57" s="74"/>
      <c r="B57" s="39" t="s">
        <v>24</v>
      </c>
      <c r="C57" s="38"/>
      <c r="D57" s="38"/>
      <c r="E57" s="38"/>
    </row>
    <row r="58" spans="1:7" ht="14.25" customHeight="1" thickBot="1" x14ac:dyDescent="0.3">
      <c r="A58" s="40"/>
      <c r="B58" s="503"/>
      <c r="D58" s="42"/>
      <c r="F58" s="43"/>
      <c r="G58" s="43"/>
    </row>
    <row r="59" spans="1:7" ht="15" customHeight="1" x14ac:dyDescent="0.3">
      <c r="B59" s="647" t="s">
        <v>26</v>
      </c>
      <c r="C59" s="647"/>
      <c r="E59" s="634" t="s">
        <v>27</v>
      </c>
      <c r="F59" s="45"/>
      <c r="G59" s="634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4" sqref="A14:H62"/>
    </sheetView>
  </sheetViews>
  <sheetFormatPr defaultRowHeight="13.5" x14ac:dyDescent="0.25"/>
  <cols>
    <col min="1" max="1" width="27.5703125" style="579" customWidth="1"/>
    <col min="2" max="2" width="20.42578125" style="579" customWidth="1"/>
    <col min="3" max="3" width="31.85546875" style="579" customWidth="1"/>
    <col min="4" max="4" width="25.85546875" style="579" customWidth="1"/>
    <col min="5" max="5" width="25.7109375" style="579" customWidth="1"/>
    <col min="6" max="6" width="23.140625" style="579" customWidth="1"/>
    <col min="7" max="7" width="28.42578125" style="579" customWidth="1"/>
    <col min="8" max="8" width="21.5703125" style="579" customWidth="1"/>
    <col min="9" max="9" width="9.140625" style="579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6" t="s">
        <v>0</v>
      </c>
      <c r="B15" s="646"/>
      <c r="C15" s="646"/>
      <c r="D15" s="646"/>
      <c r="E15" s="646"/>
    </row>
    <row r="16" spans="1:6" ht="16.5" customHeight="1" x14ac:dyDescent="0.3">
      <c r="A16" s="89" t="s">
        <v>1</v>
      </c>
      <c r="B16" s="58" t="s">
        <v>127</v>
      </c>
    </row>
    <row r="17" spans="1:5" ht="16.5" customHeight="1" x14ac:dyDescent="0.3">
      <c r="A17" s="8" t="s">
        <v>3</v>
      </c>
      <c r="B17" s="8" t="s">
        <v>5</v>
      </c>
      <c r="C17" s="71"/>
      <c r="D17" s="71"/>
      <c r="E17" s="71"/>
    </row>
    <row r="18" spans="1:5" ht="16.5" customHeight="1" x14ac:dyDescent="0.3">
      <c r="A18" s="74" t="s">
        <v>4</v>
      </c>
      <c r="B18" s="8" t="s">
        <v>128</v>
      </c>
      <c r="C18" s="71"/>
      <c r="D18" s="71"/>
      <c r="E18" s="71"/>
    </row>
    <row r="19" spans="1:5" ht="16.5" customHeight="1" x14ac:dyDescent="0.3">
      <c r="A19" s="74" t="s">
        <v>6</v>
      </c>
      <c r="B19" s="11"/>
      <c r="C19" s="71"/>
      <c r="D19" s="71"/>
      <c r="E19" s="71"/>
    </row>
    <row r="20" spans="1:5" ht="16.5" customHeight="1" x14ac:dyDescent="0.3">
      <c r="A20" s="8" t="s">
        <v>8</v>
      </c>
      <c r="B20" s="11">
        <v>17.309999999999999</v>
      </c>
      <c r="C20" s="71"/>
      <c r="D20" s="71"/>
      <c r="E20" s="71"/>
    </row>
    <row r="21" spans="1:5" ht="16.5" customHeight="1" x14ac:dyDescent="0.3">
      <c r="A21" s="8" t="s">
        <v>10</v>
      </c>
      <c r="B21" s="12">
        <v>0.06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5" t="s">
        <v>13</v>
      </c>
      <c r="B23" s="14" t="s">
        <v>14</v>
      </c>
      <c r="C23" s="15" t="s">
        <v>15</v>
      </c>
      <c r="D23" s="15" t="s">
        <v>16</v>
      </c>
      <c r="E23" s="15" t="s">
        <v>17</v>
      </c>
    </row>
    <row r="24" spans="1:5" ht="16.5" customHeight="1" x14ac:dyDescent="0.3">
      <c r="A24" s="16">
        <v>1</v>
      </c>
      <c r="B24" s="17">
        <v>13635499</v>
      </c>
      <c r="C24" s="17">
        <v>158991.29999999999</v>
      </c>
      <c r="D24" s="18">
        <v>1.21</v>
      </c>
      <c r="E24" s="18">
        <v>15.29</v>
      </c>
    </row>
    <row r="25" spans="1:5" ht="16.5" customHeight="1" x14ac:dyDescent="0.3">
      <c r="A25" s="16">
        <v>2</v>
      </c>
      <c r="B25" s="17">
        <v>13635499</v>
      </c>
      <c r="C25" s="17">
        <v>158991.29999999999</v>
      </c>
      <c r="D25" s="18">
        <v>1.21</v>
      </c>
      <c r="E25" s="18">
        <v>15.29</v>
      </c>
    </row>
    <row r="26" spans="1:5" ht="16.5" customHeight="1" x14ac:dyDescent="0.3">
      <c r="A26" s="16">
        <v>3</v>
      </c>
      <c r="B26" s="17">
        <v>13689534</v>
      </c>
      <c r="C26" s="17">
        <v>166402.29999999999</v>
      </c>
      <c r="D26" s="18">
        <v>1.21</v>
      </c>
      <c r="E26" s="18">
        <v>15.3</v>
      </c>
    </row>
    <row r="27" spans="1:5" ht="16.5" customHeight="1" x14ac:dyDescent="0.3">
      <c r="A27" s="16">
        <v>4</v>
      </c>
      <c r="B27" s="17">
        <v>13671911</v>
      </c>
      <c r="C27" s="17">
        <v>162918.1</v>
      </c>
      <c r="D27" s="18">
        <v>1.23</v>
      </c>
      <c r="E27" s="18">
        <v>15.3</v>
      </c>
    </row>
    <row r="28" spans="1:5" ht="16.5" customHeight="1" x14ac:dyDescent="0.3">
      <c r="A28" s="16">
        <v>5</v>
      </c>
      <c r="B28" s="17">
        <v>13696323</v>
      </c>
      <c r="C28" s="17">
        <v>165012.29999999999</v>
      </c>
      <c r="D28" s="18">
        <v>1.26</v>
      </c>
      <c r="E28" s="18">
        <v>15.3</v>
      </c>
    </row>
    <row r="29" spans="1:5" ht="16.5" customHeight="1" x14ac:dyDescent="0.3">
      <c r="A29" s="16">
        <v>6</v>
      </c>
      <c r="B29" s="20">
        <v>13688054</v>
      </c>
      <c r="C29" s="20">
        <v>16311.1</v>
      </c>
      <c r="D29" s="21">
        <v>1.23</v>
      </c>
      <c r="E29" s="21">
        <v>15.31</v>
      </c>
    </row>
    <row r="30" spans="1:5" ht="16.5" customHeight="1" x14ac:dyDescent="0.3">
      <c r="A30" s="22" t="s">
        <v>18</v>
      </c>
      <c r="B30" s="23">
        <f>AVERAGE(B24:B29)</f>
        <v>13669470</v>
      </c>
      <c r="C30" s="24">
        <f>AVERAGE(C24:C29)</f>
        <v>138104.4</v>
      </c>
      <c r="D30" s="25">
        <f>AVERAGE(D24:D29)</f>
        <v>1.2249999999999999</v>
      </c>
      <c r="E30" s="25">
        <f>AVERAGE(E24:E29)</f>
        <v>15.298333333333332</v>
      </c>
    </row>
    <row r="31" spans="1:5" ht="16.5" customHeight="1" x14ac:dyDescent="0.3">
      <c r="A31" s="26" t="s">
        <v>19</v>
      </c>
      <c r="B31" s="27">
        <f>(STDEV(B24:B29)/B30)</f>
        <v>2.0122556363850229E-3</v>
      </c>
      <c r="C31" s="28"/>
      <c r="D31" s="28"/>
      <c r="E31" s="29"/>
    </row>
    <row r="32" spans="1:5" s="579" customFormat="1" ht="16.5" customHeight="1" x14ac:dyDescent="0.3">
      <c r="A32" s="30" t="s">
        <v>20</v>
      </c>
      <c r="B32" s="31">
        <f>COUNT(B24:B29)</f>
        <v>6</v>
      </c>
      <c r="C32" s="32"/>
      <c r="D32" s="72"/>
      <c r="E32" s="34"/>
    </row>
    <row r="33" spans="1:5" s="579" customFormat="1" ht="15.75" customHeight="1" x14ac:dyDescent="0.25">
      <c r="A33" s="71"/>
      <c r="B33" s="71"/>
      <c r="C33" s="71"/>
      <c r="D33" s="71"/>
      <c r="E33" s="71"/>
    </row>
    <row r="34" spans="1:5" s="579" customFormat="1" ht="16.5" customHeight="1" x14ac:dyDescent="0.3">
      <c r="A34" s="74" t="s">
        <v>21</v>
      </c>
      <c r="B34" s="39" t="s">
        <v>22</v>
      </c>
      <c r="C34" s="38"/>
      <c r="D34" s="38"/>
      <c r="E34" s="38"/>
    </row>
    <row r="35" spans="1:5" ht="16.5" customHeight="1" x14ac:dyDescent="0.3">
      <c r="A35" s="74"/>
      <c r="B35" s="39" t="s">
        <v>23</v>
      </c>
      <c r="C35" s="38"/>
      <c r="D35" s="38"/>
      <c r="E35" s="38"/>
    </row>
    <row r="36" spans="1:5" ht="16.5" customHeight="1" x14ac:dyDescent="0.3">
      <c r="A36" s="74"/>
      <c r="B36" s="39" t="s">
        <v>24</v>
      </c>
      <c r="C36" s="38"/>
      <c r="D36" s="38"/>
      <c r="E36" s="38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1"/>
      <c r="C40" s="71"/>
      <c r="D40" s="71"/>
      <c r="E40" s="71"/>
    </row>
    <row r="41" spans="1:5" ht="16.5" customHeight="1" x14ac:dyDescent="0.3">
      <c r="A41" s="8" t="s">
        <v>8</v>
      </c>
      <c r="B41" s="11"/>
      <c r="C41" s="71"/>
      <c r="D41" s="71"/>
      <c r="E41" s="71"/>
    </row>
    <row r="42" spans="1:5" ht="16.5" customHeight="1" x14ac:dyDescent="0.3">
      <c r="A42" s="8" t="s">
        <v>10</v>
      </c>
      <c r="B42" s="12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5" t="s">
        <v>13</v>
      </c>
      <c r="B44" s="14" t="s">
        <v>14</v>
      </c>
      <c r="C44" s="15" t="s">
        <v>15</v>
      </c>
      <c r="D44" s="15" t="s">
        <v>16</v>
      </c>
      <c r="E44" s="15" t="s">
        <v>17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19</v>
      </c>
      <c r="B52" s="27" t="e">
        <f>(STDEV(B45:B50)/B51)</f>
        <v>#DIV/0!</v>
      </c>
      <c r="C52" s="28"/>
      <c r="D52" s="28"/>
      <c r="E52" s="29"/>
    </row>
    <row r="53" spans="1:7" s="579" customFormat="1" ht="16.5" customHeight="1" x14ac:dyDescent="0.3">
      <c r="A53" s="30" t="s">
        <v>20</v>
      </c>
      <c r="B53" s="31">
        <f>COUNT(B45:B50)</f>
        <v>0</v>
      </c>
      <c r="C53" s="32"/>
      <c r="D53" s="72"/>
      <c r="E53" s="34"/>
    </row>
    <row r="54" spans="1:7" s="579" customFormat="1" ht="15.75" customHeight="1" x14ac:dyDescent="0.25">
      <c r="A54" s="71"/>
      <c r="B54" s="71"/>
      <c r="C54" s="71"/>
      <c r="D54" s="71"/>
      <c r="E54" s="71"/>
    </row>
    <row r="55" spans="1:7" s="579" customFormat="1" ht="16.5" customHeight="1" x14ac:dyDescent="0.3">
      <c r="A55" s="74" t="s">
        <v>21</v>
      </c>
      <c r="B55" s="39" t="s">
        <v>22</v>
      </c>
      <c r="C55" s="38"/>
      <c r="D55" s="38"/>
      <c r="E55" s="38"/>
    </row>
    <row r="56" spans="1:7" ht="16.5" customHeight="1" x14ac:dyDescent="0.3">
      <c r="A56" s="74"/>
      <c r="B56" s="39" t="s">
        <v>23</v>
      </c>
      <c r="C56" s="38"/>
      <c r="D56" s="38"/>
      <c r="E56" s="38"/>
    </row>
    <row r="57" spans="1:7" ht="16.5" customHeight="1" x14ac:dyDescent="0.3">
      <c r="A57" s="74"/>
      <c r="B57" s="39" t="s">
        <v>24</v>
      </c>
      <c r="C57" s="38"/>
      <c r="D57" s="38"/>
      <c r="E57" s="38"/>
    </row>
    <row r="58" spans="1:7" ht="14.25" customHeight="1" thickBot="1" x14ac:dyDescent="0.3">
      <c r="A58" s="40"/>
      <c r="B58" s="503"/>
      <c r="D58" s="42"/>
      <c r="F58" s="43"/>
      <c r="G58" s="43"/>
    </row>
    <row r="59" spans="1:7" ht="15" customHeight="1" x14ac:dyDescent="0.3">
      <c r="B59" s="647" t="s">
        <v>26</v>
      </c>
      <c r="C59" s="647"/>
      <c r="E59" s="634" t="s">
        <v>27</v>
      </c>
      <c r="F59" s="45"/>
      <c r="G59" s="634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4" sqref="A14:H6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46" t="s">
        <v>0</v>
      </c>
      <c r="B15" s="646"/>
      <c r="C15" s="646"/>
      <c r="D15" s="646"/>
      <c r="E15" s="64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1"/>
      <c r="D17" s="71"/>
      <c r="E17" s="71"/>
      <c r="F17" s="579"/>
    </row>
    <row r="18" spans="1:6" ht="16.5" customHeight="1" x14ac:dyDescent="0.3">
      <c r="A18" s="10" t="s">
        <v>4</v>
      </c>
      <c r="B18" s="8" t="s">
        <v>130</v>
      </c>
      <c r="C18" s="9"/>
      <c r="D18" s="9"/>
      <c r="E18" s="9"/>
    </row>
    <row r="19" spans="1:6" ht="16.5" customHeight="1" x14ac:dyDescent="0.3">
      <c r="A19" s="10" t="s">
        <v>6</v>
      </c>
      <c r="B19" s="11"/>
      <c r="C19" s="9"/>
      <c r="D19" s="9"/>
      <c r="E19" s="9"/>
    </row>
    <row r="20" spans="1:6" ht="16.5" customHeight="1" x14ac:dyDescent="0.3">
      <c r="A20" s="7" t="s">
        <v>8</v>
      </c>
      <c r="B20" s="11">
        <v>17.72</v>
      </c>
      <c r="C20" s="9"/>
      <c r="D20" s="9"/>
      <c r="E20" s="9"/>
    </row>
    <row r="21" spans="1:6" ht="16.5" customHeight="1" x14ac:dyDescent="0.3">
      <c r="A21" s="7" t="s">
        <v>10</v>
      </c>
      <c r="B21" s="12">
        <v>0.06</v>
      </c>
      <c r="C21" s="9"/>
      <c r="D21" s="9"/>
      <c r="E21" s="9"/>
    </row>
    <row r="22" spans="1:6" ht="15.75" customHeight="1" x14ac:dyDescent="0.25">
      <c r="A22" s="9"/>
      <c r="B22" s="9"/>
      <c r="C22" s="9"/>
      <c r="D22" s="9"/>
      <c r="E22" s="9"/>
    </row>
    <row r="23" spans="1:6" ht="16.5" customHeight="1" x14ac:dyDescent="0.3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 x14ac:dyDescent="0.3">
      <c r="A24" s="16">
        <v>1</v>
      </c>
      <c r="B24" s="17">
        <v>20471649</v>
      </c>
      <c r="C24" s="17">
        <v>32151.8</v>
      </c>
      <c r="D24" s="18">
        <v>1.3</v>
      </c>
      <c r="E24" s="19">
        <v>6.97</v>
      </c>
    </row>
    <row r="25" spans="1:6" ht="16.5" customHeight="1" x14ac:dyDescent="0.3">
      <c r="A25" s="16">
        <v>2</v>
      </c>
      <c r="B25" s="17">
        <v>20485943</v>
      </c>
      <c r="C25" s="17">
        <v>33452.800000000003</v>
      </c>
      <c r="D25" s="18">
        <v>1.29</v>
      </c>
      <c r="E25" s="18">
        <v>6.98</v>
      </c>
    </row>
    <row r="26" spans="1:6" ht="16.5" customHeight="1" x14ac:dyDescent="0.3">
      <c r="A26" s="16">
        <v>3</v>
      </c>
      <c r="B26" s="17">
        <v>20417345</v>
      </c>
      <c r="C26" s="17">
        <v>33653.4</v>
      </c>
      <c r="D26" s="18">
        <v>1.31</v>
      </c>
      <c r="E26" s="18">
        <v>6.97</v>
      </c>
    </row>
    <row r="27" spans="1:6" ht="16.5" customHeight="1" x14ac:dyDescent="0.3">
      <c r="A27" s="16">
        <v>4</v>
      </c>
      <c r="B27" s="17">
        <v>20360029</v>
      </c>
      <c r="C27" s="17">
        <v>34166.9</v>
      </c>
      <c r="D27" s="18">
        <v>1.35</v>
      </c>
      <c r="E27" s="18">
        <v>6.97</v>
      </c>
    </row>
    <row r="28" spans="1:6" ht="16.5" customHeight="1" x14ac:dyDescent="0.3">
      <c r="A28" s="16">
        <v>5</v>
      </c>
      <c r="B28" s="17">
        <v>20447662</v>
      </c>
      <c r="C28" s="17">
        <v>331708</v>
      </c>
      <c r="D28" s="18">
        <v>1.33</v>
      </c>
      <c r="E28" s="18">
        <v>6.97</v>
      </c>
    </row>
    <row r="29" spans="1:6" ht="16.5" customHeight="1" x14ac:dyDescent="0.3">
      <c r="A29" s="16">
        <v>6</v>
      </c>
      <c r="B29" s="20">
        <v>20378160</v>
      </c>
      <c r="C29" s="20">
        <v>331991</v>
      </c>
      <c r="D29" s="21">
        <v>1.29</v>
      </c>
      <c r="E29" s="21">
        <v>6.98</v>
      </c>
    </row>
    <row r="30" spans="1:6" ht="16.5" customHeight="1" x14ac:dyDescent="0.3">
      <c r="A30" s="22" t="s">
        <v>18</v>
      </c>
      <c r="B30" s="23">
        <f>AVERAGE(B24:B29)</f>
        <v>20426798</v>
      </c>
      <c r="C30" s="24">
        <f>AVERAGE(C24:C29)</f>
        <v>132853.98333333334</v>
      </c>
      <c r="D30" s="25">
        <f>AVERAGE(D24:D29)</f>
        <v>1.3116666666666668</v>
      </c>
      <c r="E30" s="25">
        <f>AVERAGE(E24:E29)</f>
        <v>6.9733333333333336</v>
      </c>
    </row>
    <row r="31" spans="1:6" ht="16.5" customHeight="1" x14ac:dyDescent="0.3">
      <c r="A31" s="26" t="s">
        <v>19</v>
      </c>
      <c r="B31" s="27">
        <f>(STDEV(B24:B29)/B30)</f>
        <v>2.4825852615386066E-3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9"/>
      <c r="B33" s="9"/>
      <c r="C33" s="9"/>
      <c r="D33" s="9"/>
      <c r="E33" s="35"/>
    </row>
    <row r="34" spans="1:6" s="2" customFormat="1" ht="16.5" customHeight="1" x14ac:dyDescent="0.3">
      <c r="A34" s="10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0"/>
      <c r="B35" s="36" t="s">
        <v>23</v>
      </c>
      <c r="C35" s="37"/>
      <c r="D35" s="37"/>
      <c r="E35" s="38"/>
      <c r="F35" s="2"/>
    </row>
    <row r="36" spans="1:6" ht="16.5" customHeight="1" x14ac:dyDescent="0.3">
      <c r="A36" s="10"/>
      <c r="B36" s="39" t="s">
        <v>24</v>
      </c>
      <c r="C36" s="37"/>
      <c r="D36" s="37"/>
      <c r="E36" s="37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0" t="s">
        <v>4</v>
      </c>
      <c r="B39" s="8"/>
      <c r="C39" s="9"/>
      <c r="D39" s="9"/>
      <c r="E39" s="9"/>
    </row>
    <row r="40" spans="1:6" ht="16.5" customHeight="1" x14ac:dyDescent="0.3">
      <c r="A40" s="10" t="s">
        <v>6</v>
      </c>
      <c r="B40" s="11"/>
      <c r="C40" s="9"/>
      <c r="D40" s="9"/>
      <c r="E40" s="9"/>
    </row>
    <row r="41" spans="1:6" ht="16.5" customHeight="1" x14ac:dyDescent="0.3">
      <c r="A41" s="7" t="s">
        <v>8</v>
      </c>
      <c r="B41" s="11"/>
      <c r="C41" s="9"/>
      <c r="D41" s="9"/>
      <c r="E41" s="9"/>
    </row>
    <row r="42" spans="1:6" ht="16.5" customHeight="1" x14ac:dyDescent="0.3">
      <c r="A42" s="7" t="s">
        <v>10</v>
      </c>
      <c r="B42" s="12"/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3" t="s">
        <v>13</v>
      </c>
      <c r="B44" s="14" t="s">
        <v>14</v>
      </c>
      <c r="C44" s="13" t="s">
        <v>15</v>
      </c>
      <c r="D44" s="13" t="s">
        <v>16</v>
      </c>
      <c r="E44" s="15" t="s">
        <v>17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19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35"/>
    </row>
    <row r="55" spans="1:7" s="2" customFormat="1" ht="16.5" customHeight="1" x14ac:dyDescent="0.3">
      <c r="A55" s="10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0"/>
      <c r="B56" s="36" t="s">
        <v>23</v>
      </c>
      <c r="C56" s="37"/>
      <c r="D56" s="37"/>
      <c r="E56" s="38"/>
      <c r="F56" s="2"/>
    </row>
    <row r="57" spans="1:7" ht="16.5" customHeight="1" x14ac:dyDescent="0.3">
      <c r="A57" s="10"/>
      <c r="B57" s="39" t="s">
        <v>24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647" t="s">
        <v>26</v>
      </c>
      <c r="C59" s="647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9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8" t="s">
        <v>45</v>
      </c>
      <c r="B1" s="648"/>
      <c r="C1" s="648"/>
      <c r="D1" s="648"/>
      <c r="E1" s="648"/>
      <c r="F1" s="648"/>
      <c r="G1" s="648"/>
      <c r="H1" s="648"/>
      <c r="I1" s="648"/>
    </row>
    <row r="2" spans="1:9" ht="18.75" customHeight="1" x14ac:dyDescent="0.25">
      <c r="A2" s="648"/>
      <c r="B2" s="648"/>
      <c r="C2" s="648"/>
      <c r="D2" s="648"/>
      <c r="E2" s="648"/>
      <c r="F2" s="648"/>
      <c r="G2" s="648"/>
      <c r="H2" s="648"/>
      <c r="I2" s="648"/>
    </row>
    <row r="3" spans="1:9" ht="18.75" customHeight="1" x14ac:dyDescent="0.25">
      <c r="A3" s="648"/>
      <c r="B3" s="648"/>
      <c r="C3" s="648"/>
      <c r="D3" s="648"/>
      <c r="E3" s="648"/>
      <c r="F3" s="648"/>
      <c r="G3" s="648"/>
      <c r="H3" s="648"/>
      <c r="I3" s="648"/>
    </row>
    <row r="4" spans="1:9" ht="18.75" customHeight="1" x14ac:dyDescent="0.25">
      <c r="A4" s="648"/>
      <c r="B4" s="648"/>
      <c r="C4" s="648"/>
      <c r="D4" s="648"/>
      <c r="E4" s="648"/>
      <c r="F4" s="648"/>
      <c r="G4" s="648"/>
      <c r="H4" s="648"/>
      <c r="I4" s="648"/>
    </row>
    <row r="5" spans="1:9" ht="18.75" customHeight="1" x14ac:dyDescent="0.25">
      <c r="A5" s="648"/>
      <c r="B5" s="648"/>
      <c r="C5" s="648"/>
      <c r="D5" s="648"/>
      <c r="E5" s="648"/>
      <c r="F5" s="648"/>
      <c r="G5" s="648"/>
      <c r="H5" s="648"/>
      <c r="I5" s="648"/>
    </row>
    <row r="6" spans="1:9" ht="18.75" customHeight="1" x14ac:dyDescent="0.25">
      <c r="A6" s="648"/>
      <c r="B6" s="648"/>
      <c r="C6" s="648"/>
      <c r="D6" s="648"/>
      <c r="E6" s="648"/>
      <c r="F6" s="648"/>
      <c r="G6" s="648"/>
      <c r="H6" s="648"/>
      <c r="I6" s="648"/>
    </row>
    <row r="7" spans="1:9" ht="18.75" customHeight="1" x14ac:dyDescent="0.25">
      <c r="A7" s="648"/>
      <c r="B7" s="648"/>
      <c r="C7" s="648"/>
      <c r="D7" s="648"/>
      <c r="E7" s="648"/>
      <c r="F7" s="648"/>
      <c r="G7" s="648"/>
      <c r="H7" s="648"/>
      <c r="I7" s="648"/>
    </row>
    <row r="8" spans="1:9" x14ac:dyDescent="0.25">
      <c r="A8" s="649" t="s">
        <v>46</v>
      </c>
      <c r="B8" s="649"/>
      <c r="C8" s="649"/>
      <c r="D8" s="649"/>
      <c r="E8" s="649"/>
      <c r="F8" s="649"/>
      <c r="G8" s="649"/>
      <c r="H8" s="649"/>
      <c r="I8" s="649"/>
    </row>
    <row r="9" spans="1:9" x14ac:dyDescent="0.25">
      <c r="A9" s="649"/>
      <c r="B9" s="649"/>
      <c r="C9" s="649"/>
      <c r="D9" s="649"/>
      <c r="E9" s="649"/>
      <c r="F9" s="649"/>
      <c r="G9" s="649"/>
      <c r="H9" s="649"/>
      <c r="I9" s="649"/>
    </row>
    <row r="10" spans="1:9" x14ac:dyDescent="0.25">
      <c r="A10" s="649"/>
      <c r="B10" s="649"/>
      <c r="C10" s="649"/>
      <c r="D10" s="649"/>
      <c r="E10" s="649"/>
      <c r="F10" s="649"/>
      <c r="G10" s="649"/>
      <c r="H10" s="649"/>
      <c r="I10" s="649"/>
    </row>
    <row r="11" spans="1:9" x14ac:dyDescent="0.25">
      <c r="A11" s="649"/>
      <c r="B11" s="649"/>
      <c r="C11" s="649"/>
      <c r="D11" s="649"/>
      <c r="E11" s="649"/>
      <c r="F11" s="649"/>
      <c r="G11" s="649"/>
      <c r="H11" s="649"/>
      <c r="I11" s="649"/>
    </row>
    <row r="12" spans="1:9" x14ac:dyDescent="0.25">
      <c r="A12" s="649"/>
      <c r="B12" s="649"/>
      <c r="C12" s="649"/>
      <c r="D12" s="649"/>
      <c r="E12" s="649"/>
      <c r="F12" s="649"/>
      <c r="G12" s="649"/>
      <c r="H12" s="649"/>
      <c r="I12" s="649"/>
    </row>
    <row r="13" spans="1:9" x14ac:dyDescent="0.25">
      <c r="A13" s="649"/>
      <c r="B13" s="649"/>
      <c r="C13" s="649"/>
      <c r="D13" s="649"/>
      <c r="E13" s="649"/>
      <c r="F13" s="649"/>
      <c r="G13" s="649"/>
      <c r="H13" s="649"/>
      <c r="I13" s="649"/>
    </row>
    <row r="14" spans="1:9" x14ac:dyDescent="0.25">
      <c r="A14" s="649"/>
      <c r="B14" s="649"/>
      <c r="C14" s="649"/>
      <c r="D14" s="649"/>
      <c r="E14" s="649"/>
      <c r="F14" s="649"/>
      <c r="G14" s="649"/>
      <c r="H14" s="649"/>
      <c r="I14" s="649"/>
    </row>
    <row r="15" spans="1:9" ht="19.5" customHeight="1" x14ac:dyDescent="0.3">
      <c r="A15" s="97"/>
    </row>
    <row r="16" spans="1:9" ht="19.5" customHeight="1" x14ac:dyDescent="0.3">
      <c r="A16" s="682" t="s">
        <v>31</v>
      </c>
      <c r="B16" s="683"/>
      <c r="C16" s="683"/>
      <c r="D16" s="683"/>
      <c r="E16" s="683"/>
      <c r="F16" s="683"/>
      <c r="G16" s="683"/>
      <c r="H16" s="684"/>
    </row>
    <row r="17" spans="1:14" ht="20.25" customHeight="1" x14ac:dyDescent="0.25">
      <c r="A17" s="685" t="s">
        <v>47</v>
      </c>
      <c r="B17" s="685"/>
      <c r="C17" s="685"/>
      <c r="D17" s="685"/>
      <c r="E17" s="685"/>
      <c r="F17" s="685"/>
      <c r="G17" s="685"/>
      <c r="H17" s="685"/>
    </row>
    <row r="18" spans="1:14" ht="26.25" customHeight="1" x14ac:dyDescent="0.4">
      <c r="A18" s="99" t="s">
        <v>33</v>
      </c>
      <c r="B18" s="681" t="s">
        <v>5</v>
      </c>
      <c r="C18" s="681"/>
      <c r="D18" s="263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6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686" t="s">
        <v>9</v>
      </c>
      <c r="C20" s="686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686" t="s">
        <v>11</v>
      </c>
      <c r="C21" s="686"/>
      <c r="D21" s="686"/>
      <c r="E21" s="686"/>
      <c r="F21" s="686"/>
      <c r="G21" s="686"/>
      <c r="H21" s="686"/>
      <c r="I21" s="103"/>
    </row>
    <row r="22" spans="1:14" ht="26.25" customHeight="1" x14ac:dyDescent="0.4">
      <c r="A22" s="99" t="s">
        <v>37</v>
      </c>
      <c r="B22" s="104" t="s">
        <v>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/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681" t="s">
        <v>135</v>
      </c>
      <c r="C26" s="681"/>
    </row>
    <row r="27" spans="1:14" ht="26.25" customHeight="1" x14ac:dyDescent="0.4">
      <c r="A27" s="108" t="s">
        <v>48</v>
      </c>
      <c r="B27" s="679" t="s">
        <v>136</v>
      </c>
      <c r="C27" s="679"/>
    </row>
    <row r="28" spans="1:14" ht="27" customHeight="1" x14ac:dyDescent="0.4">
      <c r="A28" s="108" t="s">
        <v>6</v>
      </c>
      <c r="B28" s="109">
        <v>99.3</v>
      </c>
    </row>
    <row r="29" spans="1:14" s="13" customFormat="1" ht="27" customHeight="1" x14ac:dyDescent="0.4">
      <c r="A29" s="108" t="s">
        <v>49</v>
      </c>
      <c r="B29" s="110"/>
      <c r="C29" s="656" t="s">
        <v>50</v>
      </c>
      <c r="D29" s="657"/>
      <c r="E29" s="657"/>
      <c r="F29" s="657"/>
      <c r="G29" s="658"/>
      <c r="I29" s="111"/>
      <c r="J29" s="111"/>
      <c r="K29" s="111"/>
      <c r="L29" s="111"/>
    </row>
    <row r="30" spans="1:14" s="13" customFormat="1" ht="19.5" customHeight="1" x14ac:dyDescent="0.3">
      <c r="A30" s="108" t="s">
        <v>51</v>
      </c>
      <c r="B30" s="112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 x14ac:dyDescent="0.4">
      <c r="A31" s="108" t="s">
        <v>52</v>
      </c>
      <c r="B31" s="115">
        <v>1</v>
      </c>
      <c r="C31" s="659" t="s">
        <v>53</v>
      </c>
      <c r="D31" s="660"/>
      <c r="E31" s="660"/>
      <c r="F31" s="660"/>
      <c r="G31" s="660"/>
      <c r="H31" s="661"/>
      <c r="I31" s="111"/>
      <c r="J31" s="111"/>
      <c r="K31" s="111"/>
      <c r="L31" s="111"/>
    </row>
    <row r="32" spans="1:14" s="13" customFormat="1" ht="27" customHeight="1" x14ac:dyDescent="0.4">
      <c r="A32" s="108" t="s">
        <v>54</v>
      </c>
      <c r="B32" s="115">
        <v>1</v>
      </c>
      <c r="C32" s="659" t="s">
        <v>55</v>
      </c>
      <c r="D32" s="660"/>
      <c r="E32" s="660"/>
      <c r="F32" s="660"/>
      <c r="G32" s="660"/>
      <c r="H32" s="661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58</v>
      </c>
      <c r="B36" s="122">
        <v>25</v>
      </c>
      <c r="C36" s="98"/>
      <c r="D36" s="662" t="s">
        <v>59</v>
      </c>
      <c r="E36" s="680"/>
      <c r="F36" s="662" t="s">
        <v>60</v>
      </c>
      <c r="G36" s="663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61</v>
      </c>
      <c r="B37" s="124">
        <v>5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66</v>
      </c>
      <c r="B38" s="124">
        <v>50</v>
      </c>
      <c r="C38" s="130">
        <v>1</v>
      </c>
      <c r="D38" s="628">
        <v>38700455</v>
      </c>
      <c r="E38" s="131">
        <f>IF(ISBLANK(D38),"-",$D$48/$D$45*D38)</f>
        <v>39287568.422505923</v>
      </c>
      <c r="F38" s="628">
        <v>35150171</v>
      </c>
      <c r="G38" s="132">
        <f>IF(ISBLANK(F38),"-",$D$48/$F$45*F38)</f>
        <v>39639369.201431304</v>
      </c>
      <c r="I38" s="133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67</v>
      </c>
      <c r="B39" s="124">
        <v>1</v>
      </c>
      <c r="C39" s="134">
        <v>2</v>
      </c>
      <c r="D39" s="629">
        <v>38574570</v>
      </c>
      <c r="E39" s="136">
        <f>IF(ISBLANK(D39),"-",$D$48/$D$45*D39)</f>
        <v>39159773.65753825</v>
      </c>
      <c r="F39" s="629">
        <v>35175331</v>
      </c>
      <c r="G39" s="137">
        <f>IF(ISBLANK(F39),"-",$D$48/$F$45*F39)</f>
        <v>39667742.506616876</v>
      </c>
      <c r="I39" s="664">
        <f>ABS((F43/D43*D42)-F42)/D42</f>
        <v>1.1635283165072997E-2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4">
        <v>3</v>
      </c>
      <c r="D40" s="629">
        <v>38440150</v>
      </c>
      <c r="E40" s="136">
        <f>IF(ISBLANK(D40),"-",$D$48/$D$45*D40)</f>
        <v>39023314.410551272</v>
      </c>
      <c r="F40" s="629">
        <v>35187864</v>
      </c>
      <c r="G40" s="137">
        <f>IF(ISBLANK(F40),"-",$D$48/$F$45*F40)</f>
        <v>39681876.15661253</v>
      </c>
      <c r="I40" s="664"/>
      <c r="L40" s="116"/>
      <c r="M40" s="116"/>
      <c r="N40" s="138"/>
    </row>
    <row r="41" spans="1:14" ht="27" customHeight="1" x14ac:dyDescent="0.4">
      <c r="A41" s="123" t="s">
        <v>69</v>
      </c>
      <c r="B41" s="124">
        <v>1</v>
      </c>
      <c r="C41" s="139">
        <v>4</v>
      </c>
      <c r="D41" s="630"/>
      <c r="E41" s="140" t="str">
        <f>IF(ISBLANK(D41),"-",$D$48/$D$45*D41)</f>
        <v>-</v>
      </c>
      <c r="F41" s="630"/>
      <c r="G41" s="141" t="str">
        <f>IF(ISBLANK(F41),"-",$D$48/$F$45*F41)</f>
        <v>-</v>
      </c>
      <c r="I41" s="142"/>
      <c r="L41" s="116"/>
      <c r="M41" s="116"/>
      <c r="N41" s="138"/>
    </row>
    <row r="42" spans="1:14" ht="27" customHeight="1" x14ac:dyDescent="0.4">
      <c r="A42" s="123" t="s">
        <v>70</v>
      </c>
      <c r="B42" s="124">
        <v>1</v>
      </c>
      <c r="C42" s="143" t="s">
        <v>71</v>
      </c>
      <c r="D42" s="144">
        <f>AVERAGE(D38:D41)</f>
        <v>38571725</v>
      </c>
      <c r="E42" s="145">
        <f>AVERAGE(E38:E41)</f>
        <v>39156885.496865153</v>
      </c>
      <c r="F42" s="144">
        <f>AVERAGE(F38:F41)</f>
        <v>35171122</v>
      </c>
      <c r="G42" s="146">
        <f>AVERAGE(G38:G41)</f>
        <v>39662995.954886906</v>
      </c>
      <c r="H42" s="147"/>
    </row>
    <row r="43" spans="1:14" ht="26.25" customHeight="1" x14ac:dyDescent="0.4">
      <c r="A43" s="123" t="s">
        <v>72</v>
      </c>
      <c r="B43" s="124">
        <v>1</v>
      </c>
      <c r="C43" s="148" t="s">
        <v>73</v>
      </c>
      <c r="D43" s="631">
        <v>29.76</v>
      </c>
      <c r="E43" s="138"/>
      <c r="F43" s="149">
        <v>26.79</v>
      </c>
      <c r="H43" s="147"/>
    </row>
    <row r="44" spans="1:14" ht="26.25" customHeight="1" x14ac:dyDescent="0.4">
      <c r="A44" s="123" t="s">
        <v>74</v>
      </c>
      <c r="B44" s="124">
        <v>1</v>
      </c>
      <c r="C44" s="150" t="s">
        <v>75</v>
      </c>
      <c r="D44" s="151">
        <f>D43*$B$34</f>
        <v>29.76</v>
      </c>
      <c r="E44" s="152"/>
      <c r="F44" s="151">
        <f>F43*$B$34</f>
        <v>26.79</v>
      </c>
      <c r="H44" s="147"/>
    </row>
    <row r="45" spans="1:14" ht="19.5" customHeight="1" x14ac:dyDescent="0.3">
      <c r="A45" s="123" t="s">
        <v>76</v>
      </c>
      <c r="B45" s="153">
        <f>(B44/B43)*(B42/B41)*(B40/B39)*(B38/B37)*B36</f>
        <v>250</v>
      </c>
      <c r="C45" s="150" t="s">
        <v>77</v>
      </c>
      <c r="D45" s="154">
        <f>D44*$B$30/100</f>
        <v>29.551680000000001</v>
      </c>
      <c r="E45" s="155"/>
      <c r="F45" s="154">
        <f>F44*$B$30/100</f>
        <v>26.602469999999997</v>
      </c>
      <c r="H45" s="147"/>
    </row>
    <row r="46" spans="1:14" ht="19.5" customHeight="1" x14ac:dyDescent="0.3">
      <c r="A46" s="650" t="s">
        <v>78</v>
      </c>
      <c r="B46" s="651"/>
      <c r="C46" s="150" t="s">
        <v>79</v>
      </c>
      <c r="D46" s="156">
        <f>D45/$B$45</f>
        <v>0.11820672</v>
      </c>
      <c r="E46" s="157"/>
      <c r="F46" s="158">
        <f>F45/$B$45</f>
        <v>0.10640987999999998</v>
      </c>
      <c r="H46" s="147"/>
    </row>
    <row r="47" spans="1:14" ht="27" customHeight="1" x14ac:dyDescent="0.4">
      <c r="A47" s="652"/>
      <c r="B47" s="653"/>
      <c r="C47" s="159" t="s">
        <v>80</v>
      </c>
      <c r="D47" s="160">
        <v>0.12</v>
      </c>
      <c r="E47" s="161"/>
      <c r="F47" s="157"/>
      <c r="H47" s="147"/>
    </row>
    <row r="48" spans="1:14" ht="18.75" x14ac:dyDescent="0.3">
      <c r="C48" s="162" t="s">
        <v>81</v>
      </c>
      <c r="D48" s="154">
        <f>D47*$B$45</f>
        <v>30</v>
      </c>
      <c r="F48" s="163"/>
      <c r="H48" s="147"/>
    </row>
    <row r="49" spans="1:12" ht="19.5" customHeight="1" x14ac:dyDescent="0.3">
      <c r="C49" s="164" t="s">
        <v>82</v>
      </c>
      <c r="D49" s="165">
        <f>D48/B34</f>
        <v>30</v>
      </c>
      <c r="F49" s="163"/>
      <c r="H49" s="147"/>
    </row>
    <row r="50" spans="1:12" ht="18.75" x14ac:dyDescent="0.3">
      <c r="C50" s="121" t="s">
        <v>83</v>
      </c>
      <c r="D50" s="166">
        <f>AVERAGE(E38:E41,G38:G41)</f>
        <v>39409940.725876026</v>
      </c>
      <c r="F50" s="167"/>
      <c r="H50" s="147"/>
    </row>
    <row r="51" spans="1:12" ht="18.75" x14ac:dyDescent="0.3">
      <c r="C51" s="123" t="s">
        <v>84</v>
      </c>
      <c r="D51" s="168">
        <f>STDEV(E38:E41,G38:G41)/D50</f>
        <v>7.3549307022595075E-3</v>
      </c>
      <c r="F51" s="167"/>
      <c r="H51" s="147"/>
    </row>
    <row r="52" spans="1:12" ht="19.5" customHeight="1" x14ac:dyDescent="0.3">
      <c r="C52" s="169" t="s">
        <v>20</v>
      </c>
      <c r="D52" s="170">
        <f>COUNT(E38:E41,G38:G41)</f>
        <v>6</v>
      </c>
      <c r="F52" s="167"/>
    </row>
    <row r="54" spans="1:12" ht="18.75" x14ac:dyDescent="0.3">
      <c r="A54" s="171" t="s">
        <v>1</v>
      </c>
      <c r="B54" s="172" t="s">
        <v>85</v>
      </c>
    </row>
    <row r="55" spans="1:12" ht="18.75" x14ac:dyDescent="0.3">
      <c r="A55" s="98" t="s">
        <v>86</v>
      </c>
      <c r="B55" s="173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74" t="s">
        <v>87</v>
      </c>
      <c r="B56" s="175">
        <v>600</v>
      </c>
      <c r="C56" s="98" t="str">
        <f>B20</f>
        <v>Efavirenz 600mg, Lamivudine 300mg and Tenofovir Disoproxil Fumarate 300mg Tablets</v>
      </c>
      <c r="H56" s="176"/>
    </row>
    <row r="57" spans="1:12" ht="18.75" x14ac:dyDescent="0.3">
      <c r="A57" s="173" t="s">
        <v>88</v>
      </c>
      <c r="B57" s="619">
        <v>1897.4349999999999</v>
      </c>
      <c r="H57" s="176"/>
    </row>
    <row r="58" spans="1:12" ht="19.5" customHeight="1" thickBot="1" x14ac:dyDescent="0.35">
      <c r="H58" s="176"/>
    </row>
    <row r="59" spans="1:12" s="13" customFormat="1" ht="27" customHeight="1" thickBot="1" x14ac:dyDescent="0.45">
      <c r="A59" s="121" t="s">
        <v>89</v>
      </c>
      <c r="B59" s="122">
        <v>100</v>
      </c>
      <c r="C59" s="98"/>
      <c r="D59" s="177" t="s">
        <v>90</v>
      </c>
      <c r="E59" s="178" t="s">
        <v>62</v>
      </c>
      <c r="F59" s="178" t="s">
        <v>63</v>
      </c>
      <c r="G59" s="178" t="s">
        <v>91</v>
      </c>
      <c r="H59" s="125" t="s">
        <v>92</v>
      </c>
      <c r="L59" s="111"/>
    </row>
    <row r="60" spans="1:12" s="13" customFormat="1" ht="26.25" customHeight="1" thickBot="1" x14ac:dyDescent="0.45">
      <c r="A60" s="123" t="s">
        <v>93</v>
      </c>
      <c r="B60" s="124">
        <v>5</v>
      </c>
      <c r="C60" s="667" t="s">
        <v>94</v>
      </c>
      <c r="D60" s="670">
        <v>727.11</v>
      </c>
      <c r="E60" s="179">
        <v>1</v>
      </c>
      <c r="F60" s="180">
        <v>72272332</v>
      </c>
      <c r="G60" s="265">
        <f>IF(ISBLANK(F60),"-",(F60/$D$50*$D$47*$B$68)*($B$57/$D$60))</f>
        <v>574.26761077127674</v>
      </c>
      <c r="H60" s="181">
        <f>IF(ISBLANK(F60),"-",G60/$B$56)</f>
        <v>0.95711268461879451</v>
      </c>
      <c r="L60" s="111"/>
    </row>
    <row r="61" spans="1:12" s="13" customFormat="1" ht="26.25" customHeight="1" thickBot="1" x14ac:dyDescent="0.45">
      <c r="A61" s="123" t="s">
        <v>95</v>
      </c>
      <c r="B61" s="124">
        <v>50</v>
      </c>
      <c r="C61" s="668"/>
      <c r="D61" s="671"/>
      <c r="E61" s="182">
        <v>2</v>
      </c>
      <c r="F61" s="135">
        <v>72398172</v>
      </c>
      <c r="G61" s="266">
        <f>IF(ISBLANK(F61),"-",(F61/$D$50*$D$47*$B$68)*($B$57/$D$60))</f>
        <v>575.26752089095373</v>
      </c>
      <c r="H61" s="537">
        <f t="shared" ref="H61:H62" si="0">IF(ISBLANK(F61),"-",G61/$B$56)</f>
        <v>0.9587792014849229</v>
      </c>
      <c r="L61" s="111"/>
    </row>
    <row r="62" spans="1:12" s="13" customFormat="1" ht="26.25" customHeight="1" x14ac:dyDescent="0.4">
      <c r="A62" s="123" t="s">
        <v>96</v>
      </c>
      <c r="B62" s="124">
        <v>1</v>
      </c>
      <c r="C62" s="668"/>
      <c r="D62" s="671"/>
      <c r="E62" s="182">
        <v>3</v>
      </c>
      <c r="F62" s="184">
        <v>72150265</v>
      </c>
      <c r="G62" s="266">
        <f>IF(ISBLANK(F62),"-",(F62/$D$50*$D$47*$B$68)*($B$57/$D$60))</f>
        <v>573.29768047424386</v>
      </c>
      <c r="H62" s="537">
        <f t="shared" si="0"/>
        <v>0.95549613412373979</v>
      </c>
      <c r="L62" s="111"/>
    </row>
    <row r="63" spans="1:12" ht="27" customHeight="1" thickBot="1" x14ac:dyDescent="0.45">
      <c r="A63" s="123" t="s">
        <v>97</v>
      </c>
      <c r="B63" s="124">
        <v>1</v>
      </c>
      <c r="C63" s="678"/>
      <c r="D63" s="672"/>
      <c r="E63" s="185">
        <v>4</v>
      </c>
      <c r="F63" s="186"/>
      <c r="G63" s="266" t="str">
        <f>IF(ISBLANK(F63),"-",(F63/$D$50*$D$47*$B$68)*($B$57/$D$60))</f>
        <v>-</v>
      </c>
      <c r="H63" s="183" t="str">
        <f t="shared" ref="H63:H69" si="1">IF(ISBLANK(F63),"-",G63/$B$56)</f>
        <v>-</v>
      </c>
    </row>
    <row r="64" spans="1:12" ht="26.25" customHeight="1" x14ac:dyDescent="0.4">
      <c r="A64" s="123" t="s">
        <v>98</v>
      </c>
      <c r="B64" s="124">
        <v>1</v>
      </c>
      <c r="C64" s="667" t="s">
        <v>99</v>
      </c>
      <c r="D64" s="670">
        <v>614.38</v>
      </c>
      <c r="E64" s="179">
        <v>1</v>
      </c>
      <c r="F64" s="629">
        <v>62007570</v>
      </c>
      <c r="G64" s="267">
        <f>IF(ISBLANK(F64),"-",(F64/$D$50*$D$47*$B$68)*($B$57/$D$64))</f>
        <v>583.1093621043608</v>
      </c>
      <c r="H64" s="187">
        <f t="shared" si="1"/>
        <v>0.97184893684060136</v>
      </c>
    </row>
    <row r="65" spans="1:8" ht="26.25" customHeight="1" x14ac:dyDescent="0.4">
      <c r="A65" s="123" t="s">
        <v>100</v>
      </c>
      <c r="B65" s="124">
        <v>1</v>
      </c>
      <c r="C65" s="668"/>
      <c r="D65" s="671"/>
      <c r="E65" s="182">
        <v>2</v>
      </c>
      <c r="F65" s="135">
        <v>61920092</v>
      </c>
      <c r="G65" s="268">
        <f>IF(ISBLANK(F65),"-",(F65/$D$50*$D$47*$B$68)*($B$57/$D$64))</f>
        <v>582.28673285476816</v>
      </c>
      <c r="H65" s="188">
        <f t="shared" si="1"/>
        <v>0.97047788809128022</v>
      </c>
    </row>
    <row r="66" spans="1:8" ht="26.25" customHeight="1" x14ac:dyDescent="0.4">
      <c r="A66" s="123" t="s">
        <v>101</v>
      </c>
      <c r="B66" s="124">
        <v>1</v>
      </c>
      <c r="C66" s="668"/>
      <c r="D66" s="671"/>
      <c r="E66" s="182">
        <v>3</v>
      </c>
      <c r="F66" s="135">
        <v>61790500</v>
      </c>
      <c r="G66" s="268">
        <f>IF(ISBLANK(F66),"-",(F66/$D$50*$D$47*$B$68)*($B$57/$D$64))</f>
        <v>581.06807022286955</v>
      </c>
      <c r="H66" s="188">
        <f t="shared" si="1"/>
        <v>0.96844678370478254</v>
      </c>
    </row>
    <row r="67" spans="1:8" ht="27" customHeight="1" thickBot="1" x14ac:dyDescent="0.45">
      <c r="A67" s="123" t="s">
        <v>102</v>
      </c>
      <c r="B67" s="124">
        <v>1</v>
      </c>
      <c r="C67" s="678"/>
      <c r="D67" s="672"/>
      <c r="E67" s="185">
        <v>4</v>
      </c>
      <c r="F67" s="186"/>
      <c r="G67" s="269" t="str">
        <f>IF(ISBLANK(F67),"-",(F67/$D$50*$D$47*$B$68)*($B$57/$D$64))</f>
        <v>-</v>
      </c>
      <c r="H67" s="189" t="str">
        <f t="shared" si="1"/>
        <v>-</v>
      </c>
    </row>
    <row r="68" spans="1:8" ht="26.25" customHeight="1" x14ac:dyDescent="0.4">
      <c r="A68" s="123" t="s">
        <v>103</v>
      </c>
      <c r="B68" s="190">
        <f>(B67/B66)*(B65/B64)*(B63/B62)*(B61/B60)*B59</f>
        <v>1000</v>
      </c>
      <c r="C68" s="667" t="s">
        <v>104</v>
      </c>
      <c r="D68" s="670">
        <v>749.69</v>
      </c>
      <c r="E68" s="179">
        <v>1</v>
      </c>
      <c r="F68" s="180">
        <v>74392960</v>
      </c>
      <c r="G68" s="267">
        <f>IF(ISBLANK(F68),"-",(F68/$D$50*$D$47*$B$68)*($B$57/$D$68))</f>
        <v>573.31392834245003</v>
      </c>
      <c r="H68" s="539">
        <f t="shared" si="1"/>
        <v>0.95552321390408335</v>
      </c>
    </row>
    <row r="69" spans="1:8" ht="27" customHeight="1" thickBot="1" x14ac:dyDescent="0.45">
      <c r="A69" s="169" t="s">
        <v>105</v>
      </c>
      <c r="B69" s="191">
        <f>(D47*B68)/B56*B57</f>
        <v>379.48700000000002</v>
      </c>
      <c r="C69" s="668"/>
      <c r="D69" s="671"/>
      <c r="E69" s="182">
        <v>2</v>
      </c>
      <c r="F69" s="135">
        <v>74786917</v>
      </c>
      <c r="G69" s="268">
        <f>IF(ISBLANK(F69),"-",(F69/$D$50*$D$47*$B$68)*($B$57/$D$68))</f>
        <v>576.34998222803279</v>
      </c>
      <c r="H69" s="539">
        <f t="shared" si="1"/>
        <v>0.96058330371338796</v>
      </c>
    </row>
    <row r="70" spans="1:8" ht="26.25" customHeight="1" x14ac:dyDescent="0.4">
      <c r="A70" s="673" t="s">
        <v>78</v>
      </c>
      <c r="B70" s="674"/>
      <c r="C70" s="668"/>
      <c r="D70" s="671"/>
      <c r="E70" s="182">
        <v>3</v>
      </c>
      <c r="F70" s="135">
        <v>75243071</v>
      </c>
      <c r="G70" s="268">
        <f>IF(ISBLANK(F70),"-",(F70/$D$50*$D$47*$B$68)*($B$57/$D$68))</f>
        <v>579.86536112502961</v>
      </c>
      <c r="H70" s="539">
        <f>IF(ISBLANK(F70),"-",G70/$B$56)</f>
        <v>0.966442268541716</v>
      </c>
    </row>
    <row r="71" spans="1:8" ht="27" customHeight="1" thickBot="1" x14ac:dyDescent="0.45">
      <c r="A71" s="675"/>
      <c r="B71" s="676"/>
      <c r="C71" s="669"/>
      <c r="D71" s="672"/>
      <c r="E71" s="185">
        <v>4</v>
      </c>
      <c r="F71" s="186"/>
      <c r="G71" s="269" t="str">
        <f>IF(ISBLANK(F71),"-",(F71/$D$50*$D$47*$B$68)*($B$57/$D$68))</f>
        <v>-</v>
      </c>
      <c r="H71" s="192" t="str">
        <f>IF(ISBLANK(F71),"-",G71/$B$56)</f>
        <v>-</v>
      </c>
    </row>
    <row r="72" spans="1:8" ht="26.25" customHeight="1" x14ac:dyDescent="0.4">
      <c r="A72" s="193"/>
      <c r="B72" s="193"/>
      <c r="C72" s="193"/>
      <c r="D72" s="193"/>
      <c r="E72" s="193"/>
      <c r="F72" s="194"/>
      <c r="G72" s="195" t="s">
        <v>71</v>
      </c>
      <c r="H72" s="196">
        <f>AVERAGE(H60:H71)</f>
        <v>0.9627456016692566</v>
      </c>
    </row>
    <row r="73" spans="1:8" ht="26.25" customHeight="1" x14ac:dyDescent="0.4">
      <c r="C73" s="193"/>
      <c r="D73" s="193"/>
      <c r="E73" s="193"/>
      <c r="F73" s="194"/>
      <c r="G73" s="197" t="s">
        <v>84</v>
      </c>
      <c r="H73" s="636">
        <f>STDEV(H60:H71)/H72</f>
        <v>6.8278271460013844E-3</v>
      </c>
    </row>
    <row r="74" spans="1:8" ht="27" customHeight="1" x14ac:dyDescent="0.4">
      <c r="A74" s="193"/>
      <c r="B74" s="193"/>
      <c r="C74" s="194"/>
      <c r="D74" s="194"/>
      <c r="E74" s="198"/>
      <c r="F74" s="194"/>
      <c r="G74" s="199" t="s">
        <v>20</v>
      </c>
      <c r="H74" s="200">
        <f>COUNT(H60:H71)</f>
        <v>9</v>
      </c>
    </row>
    <row r="76" spans="1:8" ht="26.25" customHeight="1" x14ac:dyDescent="0.4">
      <c r="A76" s="107" t="s">
        <v>106</v>
      </c>
      <c r="B76" s="201" t="s">
        <v>107</v>
      </c>
      <c r="C76" s="654" t="str">
        <f>B20</f>
        <v>Efavirenz 600mg, Lamivudine 300mg and Tenofovir Disoproxil Fumarate 300mg Tablets</v>
      </c>
      <c r="D76" s="654"/>
      <c r="E76" s="202" t="s">
        <v>108</v>
      </c>
      <c r="F76" s="202"/>
      <c r="G76" s="203">
        <f>H72</f>
        <v>0.9627456016692566</v>
      </c>
      <c r="H76" s="204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677" t="str">
        <f>B26</f>
        <v>Efavirenz</v>
      </c>
      <c r="C79" s="677"/>
    </row>
    <row r="80" spans="1:8" ht="26.25" customHeight="1" x14ac:dyDescent="0.4">
      <c r="A80" s="108" t="s">
        <v>48</v>
      </c>
      <c r="B80" s="677" t="str">
        <f>B27</f>
        <v>ELT301VSP19320813CM</v>
      </c>
      <c r="C80" s="677"/>
    </row>
    <row r="81" spans="1:12" ht="27" customHeight="1" x14ac:dyDescent="0.4">
      <c r="A81" s="108" t="s">
        <v>6</v>
      </c>
      <c r="B81" s="205">
        <f>B28</f>
        <v>99.3</v>
      </c>
    </row>
    <row r="82" spans="1:12" s="13" customFormat="1" ht="27" customHeight="1" x14ac:dyDescent="0.4">
      <c r="A82" s="108" t="s">
        <v>49</v>
      </c>
      <c r="B82" s="110">
        <v>0</v>
      </c>
      <c r="C82" s="656" t="s">
        <v>50</v>
      </c>
      <c r="D82" s="657"/>
      <c r="E82" s="657"/>
      <c r="F82" s="657"/>
      <c r="G82" s="658"/>
      <c r="I82" s="111"/>
      <c r="J82" s="111"/>
      <c r="K82" s="111"/>
      <c r="L82" s="111"/>
    </row>
    <row r="83" spans="1:12" s="13" customFormat="1" ht="19.5" customHeight="1" x14ac:dyDescent="0.3">
      <c r="A83" s="108" t="s">
        <v>51</v>
      </c>
      <c r="B83" s="112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 x14ac:dyDescent="0.4">
      <c r="A84" s="108" t="s">
        <v>52</v>
      </c>
      <c r="B84" s="115">
        <v>1</v>
      </c>
      <c r="C84" s="659" t="s">
        <v>111</v>
      </c>
      <c r="D84" s="660"/>
      <c r="E84" s="660"/>
      <c r="F84" s="660"/>
      <c r="G84" s="660"/>
      <c r="H84" s="661"/>
      <c r="I84" s="111"/>
      <c r="J84" s="111"/>
      <c r="K84" s="111"/>
      <c r="L84" s="111"/>
    </row>
    <row r="85" spans="1:12" s="13" customFormat="1" ht="27" customHeight="1" x14ac:dyDescent="0.4">
      <c r="A85" s="108" t="s">
        <v>54</v>
      </c>
      <c r="B85" s="115">
        <v>1</v>
      </c>
      <c r="C85" s="659" t="s">
        <v>112</v>
      </c>
      <c r="D85" s="660"/>
      <c r="E85" s="660"/>
      <c r="F85" s="660"/>
      <c r="G85" s="660"/>
      <c r="H85" s="661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6" t="s">
        <v>59</v>
      </c>
      <c r="E89" s="207"/>
      <c r="F89" s="662" t="s">
        <v>60</v>
      </c>
      <c r="G89" s="663"/>
    </row>
    <row r="90" spans="1:12" ht="27" customHeight="1" x14ac:dyDescent="0.4">
      <c r="A90" s="123" t="s">
        <v>61</v>
      </c>
      <c r="B90" s="124">
        <v>10</v>
      </c>
      <c r="C90" s="208" t="s">
        <v>62</v>
      </c>
      <c r="D90" s="126" t="s">
        <v>63</v>
      </c>
      <c r="E90" s="127" t="s">
        <v>64</v>
      </c>
      <c r="F90" s="126" t="s">
        <v>63</v>
      </c>
      <c r="G90" s="209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20</v>
      </c>
      <c r="C91" s="210">
        <v>1</v>
      </c>
      <c r="D91" s="628">
        <v>170219813</v>
      </c>
      <c r="E91" s="131">
        <f>IF(ISBLANK(D91),"-",$D$101/$D$98*D91)</f>
        <v>172802168.60767305</v>
      </c>
      <c r="F91" s="628">
        <v>157811017</v>
      </c>
      <c r="G91" s="132">
        <f>IF(ISBLANK(F91),"-",$D$101/$F$98*F91)</f>
        <v>177965824.60200128</v>
      </c>
      <c r="I91" s="133"/>
    </row>
    <row r="92" spans="1:12" ht="26.25" customHeight="1" x14ac:dyDescent="0.4">
      <c r="A92" s="123" t="s">
        <v>67</v>
      </c>
      <c r="B92" s="124">
        <v>1</v>
      </c>
      <c r="C92" s="194">
        <v>2</v>
      </c>
      <c r="D92" s="629">
        <v>170273567</v>
      </c>
      <c r="E92" s="136">
        <f>IF(ISBLANK(D92),"-",$D$101/$D$98*D92)</f>
        <v>172856738.09407789</v>
      </c>
      <c r="F92" s="629">
        <v>158597014</v>
      </c>
      <c r="G92" s="137">
        <f>IF(ISBLANK(F92),"-",$D$101/$F$98*F92)</f>
        <v>178852205.07719776</v>
      </c>
      <c r="I92" s="664">
        <f>ABS((F96/D96*D95)-F95)/D95</f>
        <v>3.1964957635819122E-2</v>
      </c>
    </row>
    <row r="93" spans="1:12" ht="26.25" customHeight="1" x14ac:dyDescent="0.4">
      <c r="A93" s="123" t="s">
        <v>68</v>
      </c>
      <c r="B93" s="124">
        <v>1</v>
      </c>
      <c r="C93" s="194">
        <v>3</v>
      </c>
      <c r="D93" s="629">
        <v>169583735</v>
      </c>
      <c r="E93" s="136">
        <f>IF(ISBLANK(D93),"-",$D$101/$D$98*D93)</f>
        <v>172156440.85209367</v>
      </c>
      <c r="F93" s="629">
        <v>159068804</v>
      </c>
      <c r="G93" s="137">
        <f>IF(ISBLANK(F93),"-",$D$101/$F$98*F93)</f>
        <v>179384249.65802053</v>
      </c>
      <c r="I93" s="664"/>
    </row>
    <row r="94" spans="1:12" ht="27" customHeight="1" x14ac:dyDescent="0.4">
      <c r="A94" s="123" t="s">
        <v>69</v>
      </c>
      <c r="B94" s="124">
        <v>1</v>
      </c>
      <c r="C94" s="211">
        <v>4</v>
      </c>
      <c r="D94" s="630"/>
      <c r="E94" s="140" t="str">
        <f>IF(ISBLANK(D94),"-",$D$101/$D$98*D94)</f>
        <v>-</v>
      </c>
      <c r="F94" s="632"/>
      <c r="G94" s="141" t="str">
        <f>IF(ISBLANK(F94),"-",$D$101/$F$98*F94)</f>
        <v>-</v>
      </c>
      <c r="I94" s="142"/>
    </row>
    <row r="95" spans="1:12" ht="27" customHeight="1" x14ac:dyDescent="0.4">
      <c r="A95" s="123" t="s">
        <v>70</v>
      </c>
      <c r="B95" s="124">
        <v>1</v>
      </c>
      <c r="C95" s="212" t="s">
        <v>71</v>
      </c>
      <c r="D95" s="213">
        <f>AVERAGE(D91:D94)</f>
        <v>170025705</v>
      </c>
      <c r="E95" s="145">
        <f>AVERAGE(E91:E94)</f>
        <v>172605115.85128152</v>
      </c>
      <c r="F95" s="214">
        <f>AVERAGE(F91:F94)</f>
        <v>158492278.33333334</v>
      </c>
      <c r="G95" s="215">
        <f>AVERAGE(G91:G94)</f>
        <v>178734093.11240652</v>
      </c>
    </row>
    <row r="96" spans="1:12" ht="26.25" customHeight="1" x14ac:dyDescent="0.4">
      <c r="A96" s="123" t="s">
        <v>72</v>
      </c>
      <c r="B96" s="109">
        <v>1</v>
      </c>
      <c r="C96" s="216" t="s">
        <v>113</v>
      </c>
      <c r="D96" s="631">
        <v>29.76</v>
      </c>
      <c r="E96" s="138"/>
      <c r="F96" s="631">
        <v>26.79</v>
      </c>
    </row>
    <row r="97" spans="1:10" ht="26.25" customHeight="1" x14ac:dyDescent="0.4">
      <c r="A97" s="123" t="s">
        <v>74</v>
      </c>
      <c r="B97" s="109">
        <v>1</v>
      </c>
      <c r="C97" s="217" t="s">
        <v>114</v>
      </c>
      <c r="D97" s="218">
        <f>D96*$B$87</f>
        <v>29.76</v>
      </c>
      <c r="E97" s="152"/>
      <c r="F97" s="151">
        <f>F96*$B$87</f>
        <v>26.79</v>
      </c>
    </row>
    <row r="98" spans="1:10" ht="19.5" customHeight="1" x14ac:dyDescent="0.3">
      <c r="A98" s="123" t="s">
        <v>76</v>
      </c>
      <c r="B98" s="219">
        <f>(B97/B96)*(B95/B94)*(B93/B92)*(B91/B90)*B89</f>
        <v>50</v>
      </c>
      <c r="C98" s="217" t="s">
        <v>115</v>
      </c>
      <c r="D98" s="220">
        <f>D97*$B$83/100</f>
        <v>29.551680000000001</v>
      </c>
      <c r="E98" s="155"/>
      <c r="F98" s="154">
        <f>F97*$B$83/100</f>
        <v>26.602469999999997</v>
      </c>
    </row>
    <row r="99" spans="1:10" ht="19.5" customHeight="1" x14ac:dyDescent="0.3">
      <c r="A99" s="650" t="s">
        <v>78</v>
      </c>
      <c r="B99" s="665"/>
      <c r="C99" s="217" t="s">
        <v>116</v>
      </c>
      <c r="D99" s="221">
        <f>D98/$B$98</f>
        <v>0.59103360000000005</v>
      </c>
      <c r="E99" s="155"/>
      <c r="F99" s="158">
        <f>F98/$B$98</f>
        <v>0.53204939999999989</v>
      </c>
      <c r="G99" s="222"/>
      <c r="H99" s="147"/>
    </row>
    <row r="100" spans="1:10" ht="19.5" customHeight="1" x14ac:dyDescent="0.3">
      <c r="A100" s="652"/>
      <c r="B100" s="666"/>
      <c r="C100" s="217" t="s">
        <v>80</v>
      </c>
      <c r="D100" s="223">
        <v>0.6</v>
      </c>
      <c r="F100" s="163"/>
      <c r="G100" s="224"/>
      <c r="H100" s="147"/>
    </row>
    <row r="101" spans="1:10" ht="18.75" x14ac:dyDescent="0.3">
      <c r="C101" s="217" t="s">
        <v>81</v>
      </c>
      <c r="D101" s="218">
        <f>D100*$B$98</f>
        <v>30</v>
      </c>
      <c r="F101" s="163"/>
      <c r="G101" s="222"/>
      <c r="H101" s="147"/>
    </row>
    <row r="102" spans="1:10" ht="19.5" customHeight="1" x14ac:dyDescent="0.3">
      <c r="C102" s="225" t="s">
        <v>82</v>
      </c>
      <c r="D102" s="226">
        <f>D101/B34</f>
        <v>30</v>
      </c>
      <c r="F102" s="167"/>
      <c r="G102" s="222"/>
      <c r="H102" s="147"/>
      <c r="J102" s="227"/>
    </row>
    <row r="103" spans="1:10" ht="18.75" x14ac:dyDescent="0.3">
      <c r="C103" s="228" t="s">
        <v>117</v>
      </c>
      <c r="D103" s="229">
        <f>AVERAGE(E91:E94,G91:G94)</f>
        <v>175669604.48184404</v>
      </c>
      <c r="F103" s="167"/>
      <c r="G103" s="230"/>
      <c r="H103" s="147"/>
      <c r="J103" s="231"/>
    </row>
    <row r="104" spans="1:10" ht="18.75" x14ac:dyDescent="0.3">
      <c r="C104" s="197" t="s">
        <v>84</v>
      </c>
      <c r="D104" s="232">
        <f>STDEV(E91:E94,G91:G94)/D103</f>
        <v>1.9333891594757308E-2</v>
      </c>
      <c r="F104" s="167"/>
      <c r="G104" s="222"/>
      <c r="H104" s="147"/>
      <c r="J104" s="231"/>
    </row>
    <row r="105" spans="1:10" ht="19.5" customHeight="1" x14ac:dyDescent="0.3">
      <c r="C105" s="199" t="s">
        <v>20</v>
      </c>
      <c r="D105" s="233">
        <f>COUNT(E91:E94,G91:G94)</f>
        <v>6</v>
      </c>
      <c r="F105" s="167"/>
      <c r="G105" s="222"/>
      <c r="H105" s="147"/>
      <c r="J105" s="231"/>
    </row>
    <row r="106" spans="1:10" ht="19.5" customHeight="1" x14ac:dyDescent="0.3">
      <c r="A106" s="171"/>
      <c r="B106" s="171"/>
      <c r="C106" s="171"/>
      <c r="D106" s="171"/>
      <c r="E106" s="171"/>
    </row>
    <row r="107" spans="1:10" ht="26.25" customHeight="1" x14ac:dyDescent="0.4">
      <c r="A107" s="121" t="s">
        <v>118</v>
      </c>
      <c r="B107" s="122">
        <v>1000</v>
      </c>
      <c r="C107" s="234" t="s">
        <v>119</v>
      </c>
      <c r="D107" s="235" t="s">
        <v>63</v>
      </c>
      <c r="E107" s="236" t="s">
        <v>120</v>
      </c>
      <c r="F107" s="237" t="s">
        <v>121</v>
      </c>
    </row>
    <row r="108" spans="1:10" ht="26.25" customHeight="1" x14ac:dyDescent="0.4">
      <c r="A108" s="123" t="s">
        <v>122</v>
      </c>
      <c r="B108" s="124">
        <v>1</v>
      </c>
      <c r="C108" s="238">
        <v>1</v>
      </c>
      <c r="D108" s="239">
        <v>163156739</v>
      </c>
      <c r="E108" s="627">
        <f t="shared" ref="E108:E113" si="2">IF(ISBLANK(D108),"-",D108/$D$103*$D$100*$B$116)</f>
        <v>557.26227476146914</v>
      </c>
      <c r="F108" s="599">
        <f>IF(ISBLANK(D108), "-", E108/$B$56)</f>
        <v>0.92877045793578195</v>
      </c>
    </row>
    <row r="109" spans="1:10" ht="26.25" customHeight="1" x14ac:dyDescent="0.4">
      <c r="A109" s="123" t="s">
        <v>95</v>
      </c>
      <c r="B109" s="124">
        <v>1</v>
      </c>
      <c r="C109" s="238">
        <v>2</v>
      </c>
      <c r="D109" s="239">
        <v>164694177</v>
      </c>
      <c r="E109" s="627">
        <f t="shared" si="2"/>
        <v>562.51339832789893</v>
      </c>
      <c r="F109" s="599">
        <f t="shared" ref="F108:F112" si="3">IF(ISBLANK(D109), "-", E109/$B$56)</f>
        <v>0.93752233054649825</v>
      </c>
    </row>
    <row r="110" spans="1:10" ht="26.25" customHeight="1" x14ac:dyDescent="0.4">
      <c r="A110" s="123" t="s">
        <v>96</v>
      </c>
      <c r="B110" s="124">
        <v>1</v>
      </c>
      <c r="C110" s="238">
        <v>3</v>
      </c>
      <c r="D110" s="239">
        <v>163345221</v>
      </c>
      <c r="E110" s="627">
        <f t="shared" si="2"/>
        <v>557.90603553234109</v>
      </c>
      <c r="F110" s="599">
        <f t="shared" si="3"/>
        <v>0.9298433925539018</v>
      </c>
    </row>
    <row r="111" spans="1:10" ht="26.25" customHeight="1" x14ac:dyDescent="0.4">
      <c r="A111" s="123" t="s">
        <v>97</v>
      </c>
      <c r="B111" s="124">
        <v>1</v>
      </c>
      <c r="C111" s="238">
        <v>4</v>
      </c>
      <c r="D111" s="239">
        <v>162859604</v>
      </c>
      <c r="E111" s="627">
        <f t="shared" si="2"/>
        <v>556.2474093809393</v>
      </c>
      <c r="F111" s="599">
        <f t="shared" si="3"/>
        <v>0.92707901563489881</v>
      </c>
    </row>
    <row r="112" spans="1:10" ht="26.25" customHeight="1" x14ac:dyDescent="0.4">
      <c r="A112" s="123" t="s">
        <v>98</v>
      </c>
      <c r="B112" s="124">
        <v>1</v>
      </c>
      <c r="C112" s="238">
        <v>5</v>
      </c>
      <c r="D112" s="239">
        <v>163428679</v>
      </c>
      <c r="E112" s="627">
        <f t="shared" si="2"/>
        <v>558.19108655267962</v>
      </c>
      <c r="F112" s="599">
        <f t="shared" si="3"/>
        <v>0.9303184775877994</v>
      </c>
    </row>
    <row r="113" spans="1:10" ht="26.25" customHeight="1" x14ac:dyDescent="0.4">
      <c r="A113" s="123" t="s">
        <v>100</v>
      </c>
      <c r="B113" s="124">
        <v>1</v>
      </c>
      <c r="C113" s="240">
        <v>6</v>
      </c>
      <c r="D113" s="241">
        <v>159565458</v>
      </c>
      <c r="E113" s="270">
        <f t="shared" si="2"/>
        <v>544.99624498155526</v>
      </c>
      <c r="F113" s="242">
        <f>IF(ISBLANK(D113), "-", E113/$B$56)</f>
        <v>0.9083270749692588</v>
      </c>
    </row>
    <row r="114" spans="1:10" ht="26.25" customHeight="1" x14ac:dyDescent="0.4">
      <c r="A114" s="123" t="s">
        <v>101</v>
      </c>
      <c r="B114" s="124">
        <v>1</v>
      </c>
      <c r="C114" s="238"/>
      <c r="D114" s="194"/>
      <c r="E114" s="97"/>
      <c r="F114" s="243"/>
    </row>
    <row r="115" spans="1:10" ht="26.25" customHeight="1" x14ac:dyDescent="0.4">
      <c r="A115" s="123" t="s">
        <v>102</v>
      </c>
      <c r="B115" s="124">
        <v>1</v>
      </c>
      <c r="C115" s="238"/>
      <c r="D115" s="244"/>
      <c r="E115" s="245" t="s">
        <v>71</v>
      </c>
      <c r="F115" s="246">
        <f>AVERAGE(F108:F113)</f>
        <v>0.92697679153802326</v>
      </c>
    </row>
    <row r="116" spans="1:10" ht="27" customHeight="1" x14ac:dyDescent="0.4">
      <c r="A116" s="123" t="s">
        <v>103</v>
      </c>
      <c r="B116" s="153">
        <f>(B115/B114)*(B113/B112)*(B111/B110)*(B109/B108)*B107</f>
        <v>1000</v>
      </c>
      <c r="C116" s="247"/>
      <c r="D116" s="248"/>
      <c r="E116" s="212" t="s">
        <v>84</v>
      </c>
      <c r="F116" s="249">
        <f>STDEV(F108:F113)/F115</f>
        <v>1.0587756111629286E-2</v>
      </c>
      <c r="I116" s="97"/>
    </row>
    <row r="117" spans="1:10" ht="27" customHeight="1" x14ac:dyDescent="0.4">
      <c r="A117" s="650" t="s">
        <v>78</v>
      </c>
      <c r="B117" s="651"/>
      <c r="C117" s="250"/>
      <c r="D117" s="251"/>
      <c r="E117" s="252" t="s">
        <v>20</v>
      </c>
      <c r="F117" s="253">
        <f>COUNT(F108:F113)</f>
        <v>6</v>
      </c>
      <c r="I117" s="97"/>
      <c r="J117" s="231"/>
    </row>
    <row r="118" spans="1:10" ht="19.5" customHeight="1" x14ac:dyDescent="0.3">
      <c r="A118" s="652"/>
      <c r="B118" s="653"/>
      <c r="C118" s="97"/>
      <c r="D118" s="97"/>
      <c r="E118" s="97"/>
      <c r="F118" s="194"/>
      <c r="G118" s="97"/>
      <c r="H118" s="97"/>
      <c r="I118" s="97"/>
    </row>
    <row r="119" spans="1:10" ht="18.75" x14ac:dyDescent="0.3">
      <c r="A119" s="262"/>
      <c r="B119" s="119"/>
      <c r="C119" s="97"/>
      <c r="D119" s="97"/>
      <c r="E119" s="97"/>
      <c r="F119" s="194"/>
      <c r="G119" s="97"/>
      <c r="H119" s="97"/>
      <c r="I119" s="97"/>
    </row>
    <row r="120" spans="1:10" ht="26.25" customHeight="1" x14ac:dyDescent="0.4">
      <c r="A120" s="107" t="s">
        <v>106</v>
      </c>
      <c r="B120" s="201" t="s">
        <v>123</v>
      </c>
      <c r="C120" s="654" t="str">
        <f>B20</f>
        <v>Efavirenz 600mg, Lamivudine 300mg and Tenofovir Disoproxil Fumarate 300mg Tablets</v>
      </c>
      <c r="D120" s="654"/>
      <c r="E120" s="202" t="s">
        <v>124</v>
      </c>
      <c r="F120" s="202"/>
      <c r="G120" s="203">
        <f>F115</f>
        <v>0.92697679153802326</v>
      </c>
      <c r="H120" s="97"/>
      <c r="I120" s="97"/>
    </row>
    <row r="121" spans="1:10" ht="19.5" customHeight="1" x14ac:dyDescent="0.3">
      <c r="A121" s="254"/>
      <c r="B121" s="254"/>
      <c r="C121" s="255"/>
      <c r="D121" s="255"/>
      <c r="E121" s="255"/>
      <c r="F121" s="255"/>
      <c r="G121" s="255"/>
      <c r="H121" s="255"/>
    </row>
    <row r="122" spans="1:10" ht="18.75" x14ac:dyDescent="0.3">
      <c r="B122" s="655" t="s">
        <v>26</v>
      </c>
      <c r="C122" s="655"/>
      <c r="E122" s="208" t="s">
        <v>27</v>
      </c>
      <c r="F122" s="256"/>
      <c r="G122" s="655" t="s">
        <v>28</v>
      </c>
      <c r="H122" s="655"/>
    </row>
    <row r="123" spans="1:10" ht="69.95" customHeight="1" x14ac:dyDescent="0.3">
      <c r="A123" s="257" t="s">
        <v>29</v>
      </c>
      <c r="B123" s="258"/>
      <c r="C123" s="258"/>
      <c r="E123" s="258"/>
      <c r="F123" s="97"/>
      <c r="G123" s="259"/>
      <c r="H123" s="259"/>
    </row>
    <row r="124" spans="1:10" ht="69.95" customHeight="1" x14ac:dyDescent="0.3">
      <c r="A124" s="257" t="s">
        <v>30</v>
      </c>
      <c r="B124" s="260"/>
      <c r="C124" s="260"/>
      <c r="E124" s="260"/>
      <c r="F124" s="97"/>
      <c r="G124" s="261"/>
      <c r="H124" s="261"/>
    </row>
    <row r="125" spans="1:10" ht="18.75" x14ac:dyDescent="0.3">
      <c r="A125" s="193"/>
      <c r="B125" s="193"/>
      <c r="C125" s="194"/>
      <c r="D125" s="194"/>
      <c r="E125" s="194"/>
      <c r="F125" s="198"/>
      <c r="G125" s="194"/>
      <c r="H125" s="194"/>
      <c r="I125" s="97"/>
    </row>
    <row r="126" spans="1:10" ht="18.75" x14ac:dyDescent="0.3">
      <c r="A126" s="193"/>
      <c r="B126" s="193"/>
      <c r="C126" s="194"/>
      <c r="D126" s="194"/>
      <c r="E126" s="194"/>
      <c r="F126" s="198"/>
      <c r="G126" s="194"/>
      <c r="H126" s="194"/>
      <c r="I126" s="97"/>
    </row>
    <row r="127" spans="1:10" ht="18.75" x14ac:dyDescent="0.3">
      <c r="A127" s="193"/>
      <c r="B127" s="193"/>
      <c r="C127" s="194"/>
      <c r="D127" s="194"/>
      <c r="E127" s="194"/>
      <c r="F127" s="198"/>
      <c r="G127" s="194"/>
      <c r="H127" s="194"/>
      <c r="I127" s="97"/>
    </row>
    <row r="128" spans="1:10" ht="18.75" x14ac:dyDescent="0.3">
      <c r="A128" s="193"/>
      <c r="B128" s="193"/>
      <c r="C128" s="194"/>
      <c r="D128" s="194"/>
      <c r="E128" s="194"/>
      <c r="F128" s="198"/>
      <c r="G128" s="194"/>
      <c r="H128" s="194"/>
      <c r="I128" s="97"/>
    </row>
    <row r="129" spans="1:9" ht="18.75" x14ac:dyDescent="0.3">
      <c r="A129" s="193"/>
      <c r="B129" s="193"/>
      <c r="C129" s="194"/>
      <c r="D129" s="194"/>
      <c r="E129" s="194"/>
      <c r="F129" s="198"/>
      <c r="G129" s="194"/>
      <c r="H129" s="194"/>
      <c r="I129" s="97"/>
    </row>
    <row r="130" spans="1:9" ht="18.75" x14ac:dyDescent="0.3">
      <c r="A130" s="193"/>
      <c r="B130" s="193"/>
      <c r="C130" s="194"/>
      <c r="D130" s="194"/>
      <c r="E130" s="194"/>
      <c r="F130" s="198"/>
      <c r="G130" s="194"/>
      <c r="H130" s="194"/>
      <c r="I130" s="97"/>
    </row>
    <row r="131" spans="1:9" ht="18.75" x14ac:dyDescent="0.3">
      <c r="A131" s="193"/>
      <c r="B131" s="193"/>
      <c r="C131" s="194"/>
      <c r="D131" s="194"/>
      <c r="E131" s="194"/>
      <c r="F131" s="198"/>
      <c r="G131" s="194"/>
      <c r="H131" s="194"/>
      <c r="I131" s="97"/>
    </row>
    <row r="132" spans="1:9" ht="18.75" x14ac:dyDescent="0.3">
      <c r="A132" s="193"/>
      <c r="B132" s="193"/>
      <c r="C132" s="194"/>
      <c r="D132" s="194"/>
      <c r="E132" s="194"/>
      <c r="F132" s="198"/>
      <c r="G132" s="194"/>
      <c r="H132" s="194"/>
      <c r="I132" s="97"/>
    </row>
    <row r="133" spans="1:9" ht="18.75" x14ac:dyDescent="0.3">
      <c r="A133" s="193"/>
      <c r="B133" s="193"/>
      <c r="C133" s="194"/>
      <c r="D133" s="194"/>
      <c r="E133" s="194"/>
      <c r="F133" s="198"/>
      <c r="G133" s="194"/>
      <c r="H133" s="194"/>
      <c r="I133" s="9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0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8" t="s">
        <v>45</v>
      </c>
      <c r="B1" s="648"/>
      <c r="C1" s="648"/>
      <c r="D1" s="648"/>
      <c r="E1" s="648"/>
      <c r="F1" s="648"/>
      <c r="G1" s="648"/>
      <c r="H1" s="648"/>
      <c r="I1" s="648"/>
    </row>
    <row r="2" spans="1:9" ht="18.75" customHeight="1" x14ac:dyDescent="0.25">
      <c r="A2" s="648"/>
      <c r="B2" s="648"/>
      <c r="C2" s="648"/>
      <c r="D2" s="648"/>
      <c r="E2" s="648"/>
      <c r="F2" s="648"/>
      <c r="G2" s="648"/>
      <c r="H2" s="648"/>
      <c r="I2" s="648"/>
    </row>
    <row r="3" spans="1:9" ht="18.75" customHeight="1" x14ac:dyDescent="0.25">
      <c r="A3" s="648"/>
      <c r="B3" s="648"/>
      <c r="C3" s="648"/>
      <c r="D3" s="648"/>
      <c r="E3" s="648"/>
      <c r="F3" s="648"/>
      <c r="G3" s="648"/>
      <c r="H3" s="648"/>
      <c r="I3" s="648"/>
    </row>
    <row r="4" spans="1:9" ht="18.75" customHeight="1" x14ac:dyDescent="0.25">
      <c r="A4" s="648"/>
      <c r="B4" s="648"/>
      <c r="C4" s="648"/>
      <c r="D4" s="648"/>
      <c r="E4" s="648"/>
      <c r="F4" s="648"/>
      <c r="G4" s="648"/>
      <c r="H4" s="648"/>
      <c r="I4" s="648"/>
    </row>
    <row r="5" spans="1:9" ht="18.75" customHeight="1" x14ac:dyDescent="0.25">
      <c r="A5" s="648"/>
      <c r="B5" s="648"/>
      <c r="C5" s="648"/>
      <c r="D5" s="648"/>
      <c r="E5" s="648"/>
      <c r="F5" s="648"/>
      <c r="G5" s="648"/>
      <c r="H5" s="648"/>
      <c r="I5" s="648"/>
    </row>
    <row r="6" spans="1:9" ht="18.75" customHeight="1" x14ac:dyDescent="0.25">
      <c r="A6" s="648"/>
      <c r="B6" s="648"/>
      <c r="C6" s="648"/>
      <c r="D6" s="648"/>
      <c r="E6" s="648"/>
      <c r="F6" s="648"/>
      <c r="G6" s="648"/>
      <c r="H6" s="648"/>
      <c r="I6" s="648"/>
    </row>
    <row r="7" spans="1:9" ht="18.75" customHeight="1" x14ac:dyDescent="0.25">
      <c r="A7" s="648"/>
      <c r="B7" s="648"/>
      <c r="C7" s="648"/>
      <c r="D7" s="648"/>
      <c r="E7" s="648"/>
      <c r="F7" s="648"/>
      <c r="G7" s="648"/>
      <c r="H7" s="648"/>
      <c r="I7" s="648"/>
    </row>
    <row r="8" spans="1:9" x14ac:dyDescent="0.25">
      <c r="A8" s="649" t="s">
        <v>46</v>
      </c>
      <c r="B8" s="649"/>
      <c r="C8" s="649"/>
      <c r="D8" s="649"/>
      <c r="E8" s="649"/>
      <c r="F8" s="649"/>
      <c r="G8" s="649"/>
      <c r="H8" s="649"/>
      <c r="I8" s="649"/>
    </row>
    <row r="9" spans="1:9" x14ac:dyDescent="0.25">
      <c r="A9" s="649"/>
      <c r="B9" s="649"/>
      <c r="C9" s="649"/>
      <c r="D9" s="649"/>
      <c r="E9" s="649"/>
      <c r="F9" s="649"/>
      <c r="G9" s="649"/>
      <c r="H9" s="649"/>
      <c r="I9" s="649"/>
    </row>
    <row r="10" spans="1:9" x14ac:dyDescent="0.25">
      <c r="A10" s="649"/>
      <c r="B10" s="649"/>
      <c r="C10" s="649"/>
      <c r="D10" s="649"/>
      <c r="E10" s="649"/>
      <c r="F10" s="649"/>
      <c r="G10" s="649"/>
      <c r="H10" s="649"/>
      <c r="I10" s="649"/>
    </row>
    <row r="11" spans="1:9" x14ac:dyDescent="0.25">
      <c r="A11" s="649"/>
      <c r="B11" s="649"/>
      <c r="C11" s="649"/>
      <c r="D11" s="649"/>
      <c r="E11" s="649"/>
      <c r="F11" s="649"/>
      <c r="G11" s="649"/>
      <c r="H11" s="649"/>
      <c r="I11" s="649"/>
    </row>
    <row r="12" spans="1:9" x14ac:dyDescent="0.25">
      <c r="A12" s="649"/>
      <c r="B12" s="649"/>
      <c r="C12" s="649"/>
      <c r="D12" s="649"/>
      <c r="E12" s="649"/>
      <c r="F12" s="649"/>
      <c r="G12" s="649"/>
      <c r="H12" s="649"/>
      <c r="I12" s="649"/>
    </row>
    <row r="13" spans="1:9" x14ac:dyDescent="0.25">
      <c r="A13" s="649"/>
      <c r="B13" s="649"/>
      <c r="C13" s="649"/>
      <c r="D13" s="649"/>
      <c r="E13" s="649"/>
      <c r="F13" s="649"/>
      <c r="G13" s="649"/>
      <c r="H13" s="649"/>
      <c r="I13" s="649"/>
    </row>
    <row r="14" spans="1:9" x14ac:dyDescent="0.25">
      <c r="A14" s="649"/>
      <c r="B14" s="649"/>
      <c r="C14" s="649"/>
      <c r="D14" s="649"/>
      <c r="E14" s="649"/>
      <c r="F14" s="649"/>
      <c r="G14" s="649"/>
      <c r="H14" s="649"/>
      <c r="I14" s="649"/>
    </row>
    <row r="15" spans="1:9" ht="19.5" customHeight="1" x14ac:dyDescent="0.3">
      <c r="A15" s="271"/>
    </row>
    <row r="16" spans="1:9" ht="19.5" customHeight="1" x14ac:dyDescent="0.3">
      <c r="A16" s="682" t="s">
        <v>31</v>
      </c>
      <c r="B16" s="683"/>
      <c r="C16" s="683"/>
      <c r="D16" s="683"/>
      <c r="E16" s="683"/>
      <c r="F16" s="683"/>
      <c r="G16" s="683"/>
      <c r="H16" s="684"/>
    </row>
    <row r="17" spans="1:14" ht="20.25" customHeight="1" x14ac:dyDescent="0.25">
      <c r="A17" s="685" t="s">
        <v>47</v>
      </c>
      <c r="B17" s="685"/>
      <c r="C17" s="685"/>
      <c r="D17" s="685"/>
      <c r="E17" s="685"/>
      <c r="F17" s="685"/>
      <c r="G17" s="685"/>
      <c r="H17" s="685"/>
    </row>
    <row r="18" spans="1:14" ht="26.25" customHeight="1" x14ac:dyDescent="0.4">
      <c r="A18" s="273" t="s">
        <v>33</v>
      </c>
      <c r="B18" s="681" t="s">
        <v>5</v>
      </c>
      <c r="C18" s="681"/>
      <c r="D18" s="440"/>
      <c r="E18" s="274"/>
      <c r="F18" s="275"/>
      <c r="G18" s="275"/>
      <c r="H18" s="275"/>
    </row>
    <row r="19" spans="1:14" ht="26.25" customHeight="1" x14ac:dyDescent="0.4">
      <c r="A19" s="273" t="s">
        <v>34</v>
      </c>
      <c r="B19" s="276" t="s">
        <v>7</v>
      </c>
      <c r="C19" s="441">
        <v>1</v>
      </c>
      <c r="D19" s="275"/>
      <c r="E19" s="275"/>
      <c r="F19" s="275"/>
      <c r="G19" s="275"/>
      <c r="H19" s="275"/>
    </row>
    <row r="20" spans="1:14" ht="26.25" customHeight="1" x14ac:dyDescent="0.4">
      <c r="A20" s="273" t="s">
        <v>35</v>
      </c>
      <c r="B20" s="686" t="s">
        <v>9</v>
      </c>
      <c r="C20" s="686"/>
      <c r="D20" s="275"/>
      <c r="E20" s="275"/>
      <c r="F20" s="275"/>
      <c r="G20" s="275"/>
      <c r="H20" s="275"/>
    </row>
    <row r="21" spans="1:14" ht="26.25" customHeight="1" x14ac:dyDescent="0.4">
      <c r="A21" s="273" t="s">
        <v>36</v>
      </c>
      <c r="B21" s="686" t="s">
        <v>11</v>
      </c>
      <c r="C21" s="686"/>
      <c r="D21" s="686"/>
      <c r="E21" s="686"/>
      <c r="F21" s="686"/>
      <c r="G21" s="686"/>
      <c r="H21" s="686"/>
      <c r="I21" s="277"/>
    </row>
    <row r="22" spans="1:14" ht="26.25" customHeight="1" x14ac:dyDescent="0.4">
      <c r="A22" s="273" t="s">
        <v>37</v>
      </c>
      <c r="B22" s="278" t="s">
        <v>12</v>
      </c>
      <c r="C22" s="275"/>
      <c r="D22" s="275"/>
      <c r="E22" s="275"/>
      <c r="F22" s="275"/>
      <c r="G22" s="275"/>
      <c r="H22" s="275"/>
    </row>
    <row r="23" spans="1:14" ht="26.25" customHeight="1" x14ac:dyDescent="0.4">
      <c r="A23" s="273" t="s">
        <v>38</v>
      </c>
      <c r="B23" s="278"/>
      <c r="C23" s="275"/>
      <c r="D23" s="275"/>
      <c r="E23" s="275"/>
      <c r="F23" s="275"/>
      <c r="G23" s="275"/>
      <c r="H23" s="275"/>
    </row>
    <row r="24" spans="1:14" ht="18.75" x14ac:dyDescent="0.3">
      <c r="A24" s="273"/>
      <c r="B24" s="279"/>
    </row>
    <row r="25" spans="1:14" ht="18.75" x14ac:dyDescent="0.3">
      <c r="A25" s="280" t="s">
        <v>1</v>
      </c>
      <c r="B25" s="279"/>
    </row>
    <row r="26" spans="1:14" ht="26.25" customHeight="1" x14ac:dyDescent="0.4">
      <c r="A26" s="281" t="s">
        <v>4</v>
      </c>
      <c r="B26" s="677" t="s">
        <v>133</v>
      </c>
      <c r="C26" s="677"/>
    </row>
    <row r="27" spans="1:14" ht="26.25" customHeight="1" x14ac:dyDescent="0.4">
      <c r="A27" s="282" t="s">
        <v>48</v>
      </c>
      <c r="B27" s="677" t="s">
        <v>134</v>
      </c>
      <c r="C27" s="677"/>
    </row>
    <row r="28" spans="1:14" ht="27" customHeight="1" x14ac:dyDescent="0.4">
      <c r="A28" s="282" t="s">
        <v>6</v>
      </c>
      <c r="B28" s="283">
        <v>99.3</v>
      </c>
    </row>
    <row r="29" spans="1:14" s="13" customFormat="1" ht="27" customHeight="1" x14ac:dyDescent="0.4">
      <c r="A29" s="282" t="s">
        <v>49</v>
      </c>
      <c r="B29" s="284"/>
      <c r="C29" s="656" t="s">
        <v>50</v>
      </c>
      <c r="D29" s="657"/>
      <c r="E29" s="657"/>
      <c r="F29" s="657"/>
      <c r="G29" s="658"/>
      <c r="I29" s="285"/>
      <c r="J29" s="285"/>
      <c r="K29" s="285"/>
      <c r="L29" s="285"/>
    </row>
    <row r="30" spans="1:14" s="13" customFormat="1" ht="19.5" customHeight="1" x14ac:dyDescent="0.3">
      <c r="A30" s="282" t="s">
        <v>51</v>
      </c>
      <c r="B30" s="286">
        <f>B28-B29</f>
        <v>99.3</v>
      </c>
      <c r="C30" s="287"/>
      <c r="D30" s="287"/>
      <c r="E30" s="287"/>
      <c r="F30" s="287"/>
      <c r="G30" s="288"/>
      <c r="I30" s="285"/>
      <c r="J30" s="285"/>
      <c r="K30" s="285"/>
      <c r="L30" s="285"/>
    </row>
    <row r="31" spans="1:14" s="13" customFormat="1" ht="27" customHeight="1" x14ac:dyDescent="0.4">
      <c r="A31" s="282" t="s">
        <v>52</v>
      </c>
      <c r="B31" s="289">
        <v>1</v>
      </c>
      <c r="C31" s="659" t="s">
        <v>53</v>
      </c>
      <c r="D31" s="660"/>
      <c r="E31" s="660"/>
      <c r="F31" s="660"/>
      <c r="G31" s="660"/>
      <c r="H31" s="661"/>
      <c r="I31" s="285"/>
      <c r="J31" s="285"/>
      <c r="K31" s="285"/>
      <c r="L31" s="285"/>
    </row>
    <row r="32" spans="1:14" s="13" customFormat="1" ht="27" customHeight="1" x14ac:dyDescent="0.4">
      <c r="A32" s="282" t="s">
        <v>54</v>
      </c>
      <c r="B32" s="289">
        <v>1</v>
      </c>
      <c r="C32" s="659" t="s">
        <v>55</v>
      </c>
      <c r="D32" s="660"/>
      <c r="E32" s="660"/>
      <c r="F32" s="660"/>
      <c r="G32" s="660"/>
      <c r="H32" s="661"/>
      <c r="I32" s="285"/>
      <c r="J32" s="285"/>
      <c r="K32" s="285"/>
      <c r="L32" s="290"/>
      <c r="M32" s="290"/>
      <c r="N32" s="291"/>
    </row>
    <row r="33" spans="1:14" s="13" customFormat="1" ht="17.25" customHeight="1" x14ac:dyDescent="0.3">
      <c r="A33" s="282"/>
      <c r="B33" s="292"/>
      <c r="C33" s="293"/>
      <c r="D33" s="293"/>
      <c r="E33" s="293"/>
      <c r="F33" s="293"/>
      <c r="G33" s="293"/>
      <c r="H33" s="293"/>
      <c r="I33" s="285"/>
      <c r="J33" s="285"/>
      <c r="K33" s="285"/>
      <c r="L33" s="290"/>
      <c r="M33" s="290"/>
      <c r="N33" s="291"/>
    </row>
    <row r="34" spans="1:14" s="13" customFormat="1" ht="18.75" x14ac:dyDescent="0.3">
      <c r="A34" s="282" t="s">
        <v>56</v>
      </c>
      <c r="B34" s="294">
        <f>B31/B32</f>
        <v>1</v>
      </c>
      <c r="C34" s="272" t="s">
        <v>57</v>
      </c>
      <c r="D34" s="272"/>
      <c r="E34" s="272"/>
      <c r="F34" s="272"/>
      <c r="G34" s="272"/>
      <c r="I34" s="285"/>
      <c r="J34" s="285"/>
      <c r="K34" s="285"/>
      <c r="L34" s="290"/>
      <c r="M34" s="290"/>
      <c r="N34" s="291"/>
    </row>
    <row r="35" spans="1:14" s="13" customFormat="1" ht="19.5" customHeight="1" x14ac:dyDescent="0.3">
      <c r="A35" s="282"/>
      <c r="B35" s="286"/>
      <c r="G35" s="272"/>
      <c r="I35" s="285"/>
      <c r="J35" s="285"/>
      <c r="K35" s="285"/>
      <c r="L35" s="290"/>
      <c r="M35" s="290"/>
      <c r="N35" s="291"/>
    </row>
    <row r="36" spans="1:14" s="13" customFormat="1" ht="27" customHeight="1" x14ac:dyDescent="0.4">
      <c r="A36" s="295" t="s">
        <v>58</v>
      </c>
      <c r="B36" s="296">
        <v>25</v>
      </c>
      <c r="C36" s="272"/>
      <c r="D36" s="662" t="s">
        <v>59</v>
      </c>
      <c r="E36" s="680"/>
      <c r="F36" s="662" t="s">
        <v>60</v>
      </c>
      <c r="G36" s="663"/>
      <c r="J36" s="285"/>
      <c r="K36" s="285"/>
      <c r="L36" s="290"/>
      <c r="M36" s="290"/>
      <c r="N36" s="291"/>
    </row>
    <row r="37" spans="1:14" s="13" customFormat="1" ht="27" customHeight="1" x14ac:dyDescent="0.4">
      <c r="A37" s="297" t="s">
        <v>61</v>
      </c>
      <c r="B37" s="298">
        <v>5</v>
      </c>
      <c r="C37" s="299" t="s">
        <v>62</v>
      </c>
      <c r="D37" s="300" t="s">
        <v>63</v>
      </c>
      <c r="E37" s="301" t="s">
        <v>64</v>
      </c>
      <c r="F37" s="300" t="s">
        <v>63</v>
      </c>
      <c r="G37" s="302" t="s">
        <v>64</v>
      </c>
      <c r="I37" s="303" t="s">
        <v>65</v>
      </c>
      <c r="J37" s="285"/>
      <c r="K37" s="285"/>
      <c r="L37" s="290"/>
      <c r="M37" s="290"/>
      <c r="N37" s="291"/>
    </row>
    <row r="38" spans="1:14" s="13" customFormat="1" ht="26.25" customHeight="1" x14ac:dyDescent="0.4">
      <c r="A38" s="297" t="s">
        <v>66</v>
      </c>
      <c r="B38" s="298">
        <v>50</v>
      </c>
      <c r="C38" s="304">
        <v>1</v>
      </c>
      <c r="D38" s="305">
        <v>20334587</v>
      </c>
      <c r="E38" s="306">
        <f>IF(ISBLANK(D38),"-",$D$48/$D$45*D38)</f>
        <v>17334592.997483518</v>
      </c>
      <c r="F38" s="305">
        <v>22122729</v>
      </c>
      <c r="G38" s="307">
        <f>IF(ISBLANK(F38),"-",$D$48/$F$45*F38)</f>
        <v>17216908.62311295</v>
      </c>
      <c r="I38" s="308"/>
      <c r="J38" s="285"/>
      <c r="K38" s="285"/>
      <c r="L38" s="290"/>
      <c r="M38" s="290"/>
      <c r="N38" s="291"/>
    </row>
    <row r="39" spans="1:14" s="13" customFormat="1" ht="26.25" customHeight="1" x14ac:dyDescent="0.4">
      <c r="A39" s="297" t="s">
        <v>67</v>
      </c>
      <c r="B39" s="298">
        <v>1</v>
      </c>
      <c r="C39" s="309">
        <v>2</v>
      </c>
      <c r="D39" s="310">
        <v>20239605</v>
      </c>
      <c r="E39" s="311">
        <f>IF(ISBLANK(D39),"-",$D$48/$D$45*D39)</f>
        <v>17253623.843200374</v>
      </c>
      <c r="F39" s="310">
        <v>22080059</v>
      </c>
      <c r="G39" s="312">
        <f>IF(ISBLANK(F39),"-",$D$48/$F$45*F39)</f>
        <v>17183700.898561958</v>
      </c>
      <c r="I39" s="664">
        <f>ABS((F43/D43*D42)-F42)/D42</f>
        <v>3.9443502006760219E-3</v>
      </c>
      <c r="J39" s="285"/>
      <c r="K39" s="285"/>
      <c r="L39" s="290"/>
      <c r="M39" s="290"/>
      <c r="N39" s="291"/>
    </row>
    <row r="40" spans="1:14" ht="26.25" customHeight="1" x14ac:dyDescent="0.4">
      <c r="A40" s="297" t="s">
        <v>68</v>
      </c>
      <c r="B40" s="298">
        <v>1</v>
      </c>
      <c r="C40" s="309">
        <v>3</v>
      </c>
      <c r="D40" s="310">
        <v>20183041</v>
      </c>
      <c r="E40" s="311">
        <f>IF(ISBLANK(D40),"-",$D$48/$D$45*D40)</f>
        <v>17205404.820197366</v>
      </c>
      <c r="F40" s="310">
        <v>22109364</v>
      </c>
      <c r="G40" s="312">
        <f>IF(ISBLANK(F40),"-",$D$48/$F$45*F40)</f>
        <v>17206507.375430174</v>
      </c>
      <c r="I40" s="664"/>
      <c r="L40" s="290"/>
      <c r="M40" s="290"/>
      <c r="N40" s="313"/>
    </row>
    <row r="41" spans="1:14" ht="27" customHeight="1" x14ac:dyDescent="0.4">
      <c r="A41" s="297" t="s">
        <v>69</v>
      </c>
      <c r="B41" s="298">
        <v>1</v>
      </c>
      <c r="C41" s="314">
        <v>4</v>
      </c>
      <c r="D41" s="315"/>
      <c r="E41" s="316" t="str">
        <f>IF(ISBLANK(D41),"-",$D$48/$D$45*D41)</f>
        <v>-</v>
      </c>
      <c r="F41" s="315"/>
      <c r="G41" s="317" t="str">
        <f>IF(ISBLANK(F41),"-",$D$48/$F$45*F41)</f>
        <v>-</v>
      </c>
      <c r="I41" s="318"/>
      <c r="L41" s="290"/>
      <c r="M41" s="290"/>
      <c r="N41" s="313"/>
    </row>
    <row r="42" spans="1:14" ht="27" customHeight="1" x14ac:dyDescent="0.4">
      <c r="A42" s="297" t="s">
        <v>70</v>
      </c>
      <c r="B42" s="298">
        <v>1</v>
      </c>
      <c r="C42" s="319" t="s">
        <v>71</v>
      </c>
      <c r="D42" s="320">
        <f>AVERAGE(D38:D41)</f>
        <v>20252411</v>
      </c>
      <c r="E42" s="321">
        <f>AVERAGE(E38:E41)</f>
        <v>17264540.553627085</v>
      </c>
      <c r="F42" s="320">
        <f>AVERAGE(F38:F41)</f>
        <v>22104050.666666668</v>
      </c>
      <c r="G42" s="322">
        <f>AVERAGE(G38:G41)</f>
        <v>17202372.299035028</v>
      </c>
      <c r="H42" s="323"/>
    </row>
    <row r="43" spans="1:14" ht="26.25" customHeight="1" x14ac:dyDescent="0.4">
      <c r="A43" s="297" t="s">
        <v>72</v>
      </c>
      <c r="B43" s="298">
        <v>1</v>
      </c>
      <c r="C43" s="324" t="s">
        <v>73</v>
      </c>
      <c r="D43" s="325">
        <v>17.72</v>
      </c>
      <c r="E43" s="313"/>
      <c r="F43" s="325">
        <v>19.41</v>
      </c>
      <c r="H43" s="323"/>
    </row>
    <row r="44" spans="1:14" ht="26.25" customHeight="1" x14ac:dyDescent="0.4">
      <c r="A44" s="297" t="s">
        <v>74</v>
      </c>
      <c r="B44" s="298">
        <v>1</v>
      </c>
      <c r="C44" s="326" t="s">
        <v>75</v>
      </c>
      <c r="D44" s="327">
        <f>D43*$B$34</f>
        <v>17.72</v>
      </c>
      <c r="E44" s="328"/>
      <c r="F44" s="327">
        <f>F43*$B$34</f>
        <v>19.41</v>
      </c>
      <c r="H44" s="323"/>
    </row>
    <row r="45" spans="1:14" ht="19.5" customHeight="1" x14ac:dyDescent="0.3">
      <c r="A45" s="297" t="s">
        <v>76</v>
      </c>
      <c r="B45" s="329">
        <f>(B44/B43)*(B42/B41)*(B40/B39)*(B38/B37)*B36</f>
        <v>250</v>
      </c>
      <c r="C45" s="326" t="s">
        <v>77</v>
      </c>
      <c r="D45" s="330">
        <f>D44*$B$30/100</f>
        <v>17.595959999999998</v>
      </c>
      <c r="E45" s="331"/>
      <c r="F45" s="330">
        <f>F44*$B$30/100</f>
        <v>19.27413</v>
      </c>
      <c r="H45" s="323"/>
    </row>
    <row r="46" spans="1:14" ht="19.5" customHeight="1" x14ac:dyDescent="0.3">
      <c r="A46" s="650" t="s">
        <v>78</v>
      </c>
      <c r="B46" s="651"/>
      <c r="C46" s="326" t="s">
        <v>79</v>
      </c>
      <c r="D46" s="332">
        <f>D45/$B$45</f>
        <v>7.0383839999999989E-2</v>
      </c>
      <c r="E46" s="333"/>
      <c r="F46" s="334">
        <f>F45/$B$45</f>
        <v>7.7096520000000002E-2</v>
      </c>
      <c r="H46" s="323"/>
    </row>
    <row r="47" spans="1:14" ht="27" customHeight="1" x14ac:dyDescent="0.4">
      <c r="A47" s="652"/>
      <c r="B47" s="653"/>
      <c r="C47" s="335" t="s">
        <v>80</v>
      </c>
      <c r="D47" s="336">
        <v>0.06</v>
      </c>
      <c r="E47" s="337"/>
      <c r="F47" s="333"/>
      <c r="H47" s="323"/>
    </row>
    <row r="48" spans="1:14" ht="18.75" x14ac:dyDescent="0.3">
      <c r="C48" s="338" t="s">
        <v>81</v>
      </c>
      <c r="D48" s="330">
        <f>D47*$B$45</f>
        <v>15</v>
      </c>
      <c r="F48" s="339"/>
      <c r="H48" s="323"/>
    </row>
    <row r="49" spans="1:12" ht="19.5" customHeight="1" x14ac:dyDescent="0.3">
      <c r="C49" s="340" t="s">
        <v>82</v>
      </c>
      <c r="D49" s="341">
        <f>D48/B34</f>
        <v>15</v>
      </c>
      <c r="F49" s="339"/>
      <c r="H49" s="323"/>
    </row>
    <row r="50" spans="1:12" ht="18.75" x14ac:dyDescent="0.3">
      <c r="C50" s="295" t="s">
        <v>83</v>
      </c>
      <c r="D50" s="342">
        <f>AVERAGE(E38:E41,G38:G41)</f>
        <v>17233456.426331058</v>
      </c>
      <c r="F50" s="343"/>
      <c r="H50" s="323"/>
    </row>
    <row r="51" spans="1:12" ht="18.75" x14ac:dyDescent="0.3">
      <c r="C51" s="297" t="s">
        <v>84</v>
      </c>
      <c r="D51" s="344">
        <f>STDEV(E38:E41,G38:G41)/D50</f>
        <v>3.1674180173996095E-3</v>
      </c>
      <c r="F51" s="343"/>
      <c r="H51" s="323"/>
    </row>
    <row r="52" spans="1:12" ht="19.5" customHeight="1" x14ac:dyDescent="0.3">
      <c r="C52" s="345" t="s">
        <v>20</v>
      </c>
      <c r="D52" s="346">
        <f>COUNT(E38:E41,G38:G41)</f>
        <v>6</v>
      </c>
      <c r="F52" s="343"/>
    </row>
    <row r="54" spans="1:12" ht="18.75" x14ac:dyDescent="0.3">
      <c r="A54" s="347" t="s">
        <v>1</v>
      </c>
      <c r="B54" s="348" t="s">
        <v>85</v>
      </c>
    </row>
    <row r="55" spans="1:12" ht="18.75" x14ac:dyDescent="0.3">
      <c r="A55" s="272" t="s">
        <v>86</v>
      </c>
      <c r="B55" s="349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50" t="s">
        <v>87</v>
      </c>
      <c r="B56" s="351">
        <v>300</v>
      </c>
      <c r="C56" s="272" t="str">
        <f>B20</f>
        <v>Efavirenz 600mg, Lamivudine 300mg and Tenofovir Disoproxil Fumarate 300mg Tablets</v>
      </c>
      <c r="H56" s="352"/>
    </row>
    <row r="57" spans="1:12" ht="18.75" x14ac:dyDescent="0.3">
      <c r="A57" s="349" t="s">
        <v>88</v>
      </c>
      <c r="B57" s="619">
        <v>1897.4349999999999</v>
      </c>
      <c r="H57" s="352"/>
    </row>
    <row r="58" spans="1:12" ht="19.5" customHeight="1" x14ac:dyDescent="0.3">
      <c r="H58" s="352"/>
    </row>
    <row r="59" spans="1:12" s="13" customFormat="1" ht="27" customHeight="1" x14ac:dyDescent="0.4">
      <c r="A59" s="295" t="s">
        <v>89</v>
      </c>
      <c r="B59" s="296">
        <v>100</v>
      </c>
      <c r="C59" s="272"/>
      <c r="D59" s="353" t="s">
        <v>90</v>
      </c>
      <c r="E59" s="354" t="s">
        <v>62</v>
      </c>
      <c r="F59" s="354" t="s">
        <v>63</v>
      </c>
      <c r="G59" s="354" t="s">
        <v>91</v>
      </c>
      <c r="H59" s="299" t="s">
        <v>92</v>
      </c>
      <c r="L59" s="285"/>
    </row>
    <row r="60" spans="1:12" s="13" customFormat="1" ht="26.25" customHeight="1" x14ac:dyDescent="0.4">
      <c r="A60" s="297" t="s">
        <v>93</v>
      </c>
      <c r="B60" s="298">
        <v>5</v>
      </c>
      <c r="C60" s="667" t="s">
        <v>94</v>
      </c>
      <c r="D60" s="670">
        <v>727.11</v>
      </c>
      <c r="E60" s="355">
        <v>1</v>
      </c>
      <c r="F60" s="356">
        <v>32426037</v>
      </c>
      <c r="G60" s="442">
        <f>IF(ISBLANK(F60),"-",(F60/$D$50*$D$47*$B$68)*($B$57/$D$60))</f>
        <v>294.60459994631748</v>
      </c>
      <c r="H60" s="357">
        <f t="shared" ref="H60:H70" si="0">IF(ISBLANK(F60),"-",G60/$B$56)</f>
        <v>0.9820153331543916</v>
      </c>
      <c r="L60" s="285"/>
    </row>
    <row r="61" spans="1:12" s="13" customFormat="1" ht="26.25" customHeight="1" x14ac:dyDescent="0.4">
      <c r="A61" s="297" t="s">
        <v>95</v>
      </c>
      <c r="B61" s="298">
        <v>50</v>
      </c>
      <c r="C61" s="668"/>
      <c r="D61" s="671"/>
      <c r="E61" s="358">
        <v>2</v>
      </c>
      <c r="F61" s="310">
        <v>32549458</v>
      </c>
      <c r="G61" s="443">
        <f>IF(ISBLANK(F61),"-",(F61/$D$50*$D$47*$B$68)*($B$57/$D$60))</f>
        <v>295.72593322333717</v>
      </c>
      <c r="H61" s="359">
        <f t="shared" si="0"/>
        <v>0.98575311074445726</v>
      </c>
      <c r="L61" s="285"/>
    </row>
    <row r="62" spans="1:12" s="13" customFormat="1" ht="26.25" customHeight="1" x14ac:dyDescent="0.4">
      <c r="A62" s="297" t="s">
        <v>96</v>
      </c>
      <c r="B62" s="298">
        <v>1</v>
      </c>
      <c r="C62" s="668"/>
      <c r="D62" s="671"/>
      <c r="E62" s="358">
        <v>3</v>
      </c>
      <c r="F62" s="360">
        <v>32405615</v>
      </c>
      <c r="G62" s="443">
        <f>IF(ISBLANK(F62),"-",(F62/$D$50*$D$47*$B$68)*($B$57/$D$60))</f>
        <v>294.41905722519789</v>
      </c>
      <c r="H62" s="359"/>
      <c r="L62" s="285"/>
    </row>
    <row r="63" spans="1:12" ht="27" customHeight="1" x14ac:dyDescent="0.4">
      <c r="A63" s="297" t="s">
        <v>97</v>
      </c>
      <c r="B63" s="298">
        <v>1</v>
      </c>
      <c r="C63" s="678"/>
      <c r="D63" s="672"/>
      <c r="E63" s="361">
        <v>4</v>
      </c>
      <c r="F63" s="362"/>
      <c r="G63" s="443" t="str">
        <f>IF(ISBLANK(F63),"-",(F63/$D$50*$D$47*$B$68)*($B$57/$D$60))</f>
        <v>-</v>
      </c>
      <c r="H63" s="359" t="str">
        <f t="shared" si="0"/>
        <v>-</v>
      </c>
    </row>
    <row r="64" spans="1:12" ht="26.25" customHeight="1" x14ac:dyDescent="0.4">
      <c r="A64" s="297" t="s">
        <v>98</v>
      </c>
      <c r="B64" s="298">
        <v>1</v>
      </c>
      <c r="C64" s="667" t="s">
        <v>99</v>
      </c>
      <c r="D64" s="670">
        <v>614.38</v>
      </c>
      <c r="E64" s="355">
        <v>1</v>
      </c>
      <c r="F64" s="356">
        <v>28162780</v>
      </c>
      <c r="G64" s="444">
        <f>IF(ISBLANK(F64),"-",(F64/$D$50*$D$47*$B$68)*($B$57/$D$64))</f>
        <v>302.81976651537474</v>
      </c>
      <c r="H64" s="363">
        <f t="shared" si="0"/>
        <v>1.0093992217179157</v>
      </c>
    </row>
    <row r="65" spans="1:8" ht="26.25" customHeight="1" x14ac:dyDescent="0.4">
      <c r="A65" s="297" t="s">
        <v>100</v>
      </c>
      <c r="B65" s="298">
        <v>1</v>
      </c>
      <c r="C65" s="668"/>
      <c r="D65" s="671"/>
      <c r="E65" s="358">
        <v>2</v>
      </c>
      <c r="F65" s="310">
        <v>28135334</v>
      </c>
      <c r="G65" s="445">
        <f>IF(ISBLANK(F65),"-",(F65/$D$50*$D$47*$B$68)*($B$57/$D$64))</f>
        <v>302.52465391243635</v>
      </c>
      <c r="H65" s="364">
        <f t="shared" si="0"/>
        <v>1.0084155130414545</v>
      </c>
    </row>
    <row r="66" spans="1:8" ht="26.25" customHeight="1" x14ac:dyDescent="0.4">
      <c r="A66" s="297" t="s">
        <v>101</v>
      </c>
      <c r="B66" s="298">
        <v>1</v>
      </c>
      <c r="C66" s="668"/>
      <c r="D66" s="671"/>
      <c r="E66" s="358">
        <v>3</v>
      </c>
      <c r="F66" s="310">
        <v>28012678</v>
      </c>
      <c r="G66" s="445">
        <f>IF(ISBLANK(F66),"-",(F66/$D$50*$D$47*$B$68)*($B$57/$D$64))</f>
        <v>301.20579756083646</v>
      </c>
      <c r="H66" s="364">
        <f t="shared" si="0"/>
        <v>1.0040193252027882</v>
      </c>
    </row>
    <row r="67" spans="1:8" ht="27" customHeight="1" x14ac:dyDescent="0.4">
      <c r="A67" s="297" t="s">
        <v>102</v>
      </c>
      <c r="B67" s="298">
        <v>1</v>
      </c>
      <c r="C67" s="678"/>
      <c r="D67" s="672"/>
      <c r="E67" s="361">
        <v>4</v>
      </c>
      <c r="F67" s="362"/>
      <c r="G67" s="446" t="str">
        <f>IF(ISBLANK(F67),"-",(F67/$D$50*$D$47*$B$68)*($B$57/$D$64))</f>
        <v>-</v>
      </c>
      <c r="H67" s="365" t="str">
        <f t="shared" si="0"/>
        <v>-</v>
      </c>
    </row>
    <row r="68" spans="1:8" ht="26.25" customHeight="1" x14ac:dyDescent="0.4">
      <c r="A68" s="297" t="s">
        <v>103</v>
      </c>
      <c r="B68" s="366">
        <f>(B67/B66)*(B65/B64)*(B63/B62)*(B61/B60)*B59</f>
        <v>1000</v>
      </c>
      <c r="C68" s="667" t="s">
        <v>104</v>
      </c>
      <c r="D68" s="670">
        <v>749.69</v>
      </c>
      <c r="E68" s="355">
        <v>1</v>
      </c>
      <c r="F68" s="356">
        <v>32919060</v>
      </c>
      <c r="G68" s="444">
        <f>IF(ISBLANK(F68),"-",(F68/$D$50*$D$47*$B$68)*($B$57/$D$68))</f>
        <v>290.07578410384434</v>
      </c>
      <c r="H68" s="359">
        <f t="shared" si="0"/>
        <v>0.96691928034614782</v>
      </c>
    </row>
    <row r="69" spans="1:8" ht="27" customHeight="1" x14ac:dyDescent="0.4">
      <c r="A69" s="345" t="s">
        <v>105</v>
      </c>
      <c r="B69" s="367">
        <f>(D47*B68)/B56*B57</f>
        <v>379.48700000000002</v>
      </c>
      <c r="C69" s="668"/>
      <c r="D69" s="671"/>
      <c r="E69" s="358">
        <v>2</v>
      </c>
      <c r="F69" s="310">
        <v>33026291</v>
      </c>
      <c r="G69" s="445">
        <f>IF(ISBLANK(F69),"-",(F69/$D$50*$D$47*$B$68)*($B$57/$D$68))</f>
        <v>291.02068096314832</v>
      </c>
      <c r="H69" s="359">
        <f t="shared" si="0"/>
        <v>0.97006893654382775</v>
      </c>
    </row>
    <row r="70" spans="1:8" ht="26.25" customHeight="1" x14ac:dyDescent="0.4">
      <c r="A70" s="673" t="s">
        <v>78</v>
      </c>
      <c r="B70" s="674"/>
      <c r="C70" s="668"/>
      <c r="D70" s="671"/>
      <c r="E70" s="358">
        <v>3</v>
      </c>
      <c r="F70" s="310">
        <v>33147898</v>
      </c>
      <c r="G70" s="445">
        <f>IF(ISBLANK(F70),"-",(F70/$D$50*$D$47*$B$68)*($B$57/$D$68))</f>
        <v>292.0922560894586</v>
      </c>
      <c r="H70" s="359">
        <f t="shared" si="0"/>
        <v>0.97364085363152864</v>
      </c>
    </row>
    <row r="71" spans="1:8" ht="27" customHeight="1" x14ac:dyDescent="0.4">
      <c r="A71" s="675"/>
      <c r="B71" s="676"/>
      <c r="C71" s="669"/>
      <c r="D71" s="672"/>
      <c r="E71" s="361">
        <v>4</v>
      </c>
      <c r="F71" s="362"/>
      <c r="G71" s="446" t="str">
        <f>IF(ISBLANK(F71),"-",(F71/$D$50*$D$47*$B$68)*($B$57/$D$68))</f>
        <v>-</v>
      </c>
      <c r="H71" s="368" t="str">
        <f>IF(ISBLANK(F71),"-",G71/$B$56)</f>
        <v>-</v>
      </c>
    </row>
    <row r="72" spans="1:8" ht="26.25" customHeight="1" x14ac:dyDescent="0.4">
      <c r="A72" s="369"/>
      <c r="B72" s="369"/>
      <c r="C72" s="369"/>
      <c r="D72" s="369"/>
      <c r="E72" s="369"/>
      <c r="F72" s="370"/>
      <c r="G72" s="371" t="s">
        <v>71</v>
      </c>
      <c r="H72" s="372">
        <f>AVERAGE(H60:H71)</f>
        <v>0.987528946797814</v>
      </c>
    </row>
    <row r="73" spans="1:8" ht="26.25" customHeight="1" x14ac:dyDescent="0.4">
      <c r="C73" s="369"/>
      <c r="D73" s="369"/>
      <c r="E73" s="369"/>
      <c r="F73" s="370"/>
      <c r="G73" s="373" t="s">
        <v>84</v>
      </c>
      <c r="H73" s="447">
        <f>STDEV(H60:H71)/H72</f>
        <v>1.7715969251990937E-2</v>
      </c>
    </row>
    <row r="74" spans="1:8" ht="27" customHeight="1" x14ac:dyDescent="0.4">
      <c r="A74" s="369"/>
      <c r="B74" s="369"/>
      <c r="C74" s="370"/>
      <c r="D74" s="370"/>
      <c r="E74" s="374"/>
      <c r="F74" s="370"/>
      <c r="G74" s="375" t="s">
        <v>20</v>
      </c>
      <c r="H74" s="376">
        <f>COUNT(H60:H71)</f>
        <v>8</v>
      </c>
    </row>
    <row r="76" spans="1:8" ht="26.25" customHeight="1" x14ac:dyDescent="0.4">
      <c r="A76" s="281" t="s">
        <v>106</v>
      </c>
      <c r="B76" s="377" t="s">
        <v>107</v>
      </c>
      <c r="C76" s="654" t="str">
        <f>B20</f>
        <v>Efavirenz 600mg, Lamivudine 300mg and Tenofovir Disoproxil Fumarate 300mg Tablets</v>
      </c>
      <c r="D76" s="654"/>
      <c r="E76" s="378" t="s">
        <v>108</v>
      </c>
      <c r="F76" s="378"/>
      <c r="G76" s="379">
        <f>H72</f>
        <v>0.987528946797814</v>
      </c>
      <c r="H76" s="380"/>
    </row>
    <row r="77" spans="1:8" ht="18.75" x14ac:dyDescent="0.3">
      <c r="A77" s="280" t="s">
        <v>109</v>
      </c>
      <c r="B77" s="280" t="s">
        <v>110</v>
      </c>
    </row>
    <row r="78" spans="1:8" ht="18.75" x14ac:dyDescent="0.3">
      <c r="A78" s="280"/>
      <c r="B78" s="280"/>
    </row>
    <row r="79" spans="1:8" ht="26.25" customHeight="1" x14ac:dyDescent="0.4">
      <c r="A79" s="281" t="s">
        <v>4</v>
      </c>
      <c r="B79" s="677" t="str">
        <f>B26</f>
        <v>Lamuvidine</v>
      </c>
      <c r="C79" s="677"/>
    </row>
    <row r="80" spans="1:8" ht="26.25" customHeight="1" x14ac:dyDescent="0.4">
      <c r="A80" s="282" t="s">
        <v>48</v>
      </c>
      <c r="B80" s="677" t="str">
        <f>B27</f>
        <v>Prs/L3-3</v>
      </c>
      <c r="C80" s="677"/>
    </row>
    <row r="81" spans="1:12" ht="27" customHeight="1" x14ac:dyDescent="0.4">
      <c r="A81" s="282" t="s">
        <v>6</v>
      </c>
      <c r="B81" s="381">
        <f>B28</f>
        <v>99.3</v>
      </c>
    </row>
    <row r="82" spans="1:12" s="13" customFormat="1" ht="27" customHeight="1" x14ac:dyDescent="0.4">
      <c r="A82" s="282" t="s">
        <v>49</v>
      </c>
      <c r="B82" s="284">
        <v>0</v>
      </c>
      <c r="C82" s="656" t="s">
        <v>50</v>
      </c>
      <c r="D82" s="657"/>
      <c r="E82" s="657"/>
      <c r="F82" s="657"/>
      <c r="G82" s="658"/>
      <c r="I82" s="285"/>
      <c r="J82" s="285"/>
      <c r="K82" s="285"/>
      <c r="L82" s="285"/>
    </row>
    <row r="83" spans="1:12" s="13" customFormat="1" ht="19.5" customHeight="1" x14ac:dyDescent="0.3">
      <c r="A83" s="282" t="s">
        <v>51</v>
      </c>
      <c r="B83" s="286">
        <f>B81-B82</f>
        <v>99.3</v>
      </c>
      <c r="C83" s="287"/>
      <c r="D83" s="287"/>
      <c r="E83" s="287"/>
      <c r="F83" s="287"/>
      <c r="G83" s="288"/>
      <c r="I83" s="285"/>
      <c r="J83" s="285"/>
      <c r="K83" s="285"/>
      <c r="L83" s="285"/>
    </row>
    <row r="84" spans="1:12" s="13" customFormat="1" ht="27" customHeight="1" x14ac:dyDescent="0.4">
      <c r="A84" s="282" t="s">
        <v>52</v>
      </c>
      <c r="B84" s="289">
        <v>1</v>
      </c>
      <c r="C84" s="659" t="s">
        <v>111</v>
      </c>
      <c r="D84" s="660"/>
      <c r="E84" s="660"/>
      <c r="F84" s="660"/>
      <c r="G84" s="660"/>
      <c r="H84" s="661"/>
      <c r="I84" s="285"/>
      <c r="J84" s="285"/>
      <c r="K84" s="285"/>
      <c r="L84" s="285"/>
    </row>
    <row r="85" spans="1:12" s="13" customFormat="1" ht="27" customHeight="1" x14ac:dyDescent="0.4">
      <c r="A85" s="282" t="s">
        <v>54</v>
      </c>
      <c r="B85" s="289">
        <v>1</v>
      </c>
      <c r="C85" s="659" t="s">
        <v>112</v>
      </c>
      <c r="D85" s="660"/>
      <c r="E85" s="660"/>
      <c r="F85" s="660"/>
      <c r="G85" s="660"/>
      <c r="H85" s="661"/>
      <c r="I85" s="285"/>
      <c r="J85" s="285"/>
      <c r="K85" s="285"/>
      <c r="L85" s="285"/>
    </row>
    <row r="86" spans="1:12" s="13" customFormat="1" ht="18.75" x14ac:dyDescent="0.3">
      <c r="A86" s="282"/>
      <c r="B86" s="292"/>
      <c r="C86" s="293"/>
      <c r="D86" s="293"/>
      <c r="E86" s="293"/>
      <c r="F86" s="293"/>
      <c r="G86" s="293"/>
      <c r="H86" s="293"/>
      <c r="I86" s="285"/>
      <c r="J86" s="285"/>
      <c r="K86" s="285"/>
      <c r="L86" s="285"/>
    </row>
    <row r="87" spans="1:12" s="13" customFormat="1" ht="18.75" x14ac:dyDescent="0.3">
      <c r="A87" s="282" t="s">
        <v>56</v>
      </c>
      <c r="B87" s="294">
        <f>B84/B85</f>
        <v>1</v>
      </c>
      <c r="C87" s="272" t="s">
        <v>57</v>
      </c>
      <c r="D87" s="272"/>
      <c r="E87" s="272"/>
      <c r="F87" s="272"/>
      <c r="G87" s="272"/>
      <c r="I87" s="285"/>
      <c r="J87" s="285"/>
      <c r="K87" s="285"/>
      <c r="L87" s="285"/>
    </row>
    <row r="88" spans="1:12" ht="19.5" customHeight="1" x14ac:dyDescent="0.3">
      <c r="A88" s="280"/>
      <c r="B88" s="280"/>
    </row>
    <row r="89" spans="1:12" ht="27" customHeight="1" x14ac:dyDescent="0.4">
      <c r="A89" s="295" t="s">
        <v>58</v>
      </c>
      <c r="B89" s="296">
        <v>25</v>
      </c>
      <c r="D89" s="382" t="s">
        <v>59</v>
      </c>
      <c r="E89" s="383"/>
      <c r="F89" s="662" t="s">
        <v>60</v>
      </c>
      <c r="G89" s="663"/>
    </row>
    <row r="90" spans="1:12" ht="27" customHeight="1" x14ac:dyDescent="0.4">
      <c r="A90" s="297" t="s">
        <v>61</v>
      </c>
      <c r="B90" s="298">
        <v>10</v>
      </c>
      <c r="C90" s="384" t="s">
        <v>62</v>
      </c>
      <c r="D90" s="300" t="s">
        <v>63</v>
      </c>
      <c r="E90" s="301" t="s">
        <v>64</v>
      </c>
      <c r="F90" s="300" t="s">
        <v>63</v>
      </c>
      <c r="G90" s="385" t="s">
        <v>64</v>
      </c>
      <c r="I90" s="303" t="s">
        <v>65</v>
      </c>
    </row>
    <row r="91" spans="1:12" ht="26.25" customHeight="1" x14ac:dyDescent="0.4">
      <c r="A91" s="297" t="s">
        <v>66</v>
      </c>
      <c r="B91" s="298">
        <v>20</v>
      </c>
      <c r="C91" s="386">
        <v>1</v>
      </c>
      <c r="D91" s="305">
        <v>100910731</v>
      </c>
      <c r="E91" s="306">
        <f>IF(ISBLANK(D91),"-",$D$101/$D$98*D91)</f>
        <v>86023210.157331586</v>
      </c>
      <c r="F91" s="305">
        <v>111421882</v>
      </c>
      <c r="G91" s="307">
        <f>IF(ISBLANK(F91),"-",$D$101/$F$98*F91)</f>
        <v>86713549.716640905</v>
      </c>
      <c r="I91" s="308"/>
    </row>
    <row r="92" spans="1:12" ht="26.25" customHeight="1" x14ac:dyDescent="0.4">
      <c r="A92" s="297" t="s">
        <v>67</v>
      </c>
      <c r="B92" s="298">
        <v>1</v>
      </c>
      <c r="C92" s="370">
        <v>2</v>
      </c>
      <c r="D92" s="310">
        <v>100950491</v>
      </c>
      <c r="E92" s="311">
        <f>IF(ISBLANK(D92),"-",$D$101/$D$98*D92)</f>
        <v>86057104.301214606</v>
      </c>
      <c r="F92" s="310">
        <v>110039174</v>
      </c>
      <c r="G92" s="312">
        <f>IF(ISBLANK(F92),"-",$D$101/$F$98*F92)</f>
        <v>85637463.792140037</v>
      </c>
      <c r="I92" s="664">
        <f>ABS((F96/D96*D95)-F95)/D95</f>
        <v>1.8026112931614695E-3</v>
      </c>
    </row>
    <row r="93" spans="1:12" ht="26.25" customHeight="1" x14ac:dyDescent="0.4">
      <c r="A93" s="297" t="s">
        <v>68</v>
      </c>
      <c r="B93" s="298">
        <v>1</v>
      </c>
      <c r="C93" s="370">
        <v>3</v>
      </c>
      <c r="D93" s="310">
        <v>100565897</v>
      </c>
      <c r="E93" s="311">
        <f>IF(ISBLANK(D93),"-",$D$101/$D$98*D93)</f>
        <v>85729250.066492558</v>
      </c>
      <c r="F93" s="310">
        <v>110354440</v>
      </c>
      <c r="G93" s="312">
        <f>IF(ISBLANK(F93),"-",$D$101/$F$98*F93)</f>
        <v>85882818.057157442</v>
      </c>
      <c r="I93" s="664"/>
    </row>
    <row r="94" spans="1:12" ht="27" customHeight="1" x14ac:dyDescent="0.4">
      <c r="A94" s="297" t="s">
        <v>69</v>
      </c>
      <c r="B94" s="298">
        <v>1</v>
      </c>
      <c r="C94" s="387">
        <v>4</v>
      </c>
      <c r="D94" s="315"/>
      <c r="E94" s="316" t="str">
        <f>IF(ISBLANK(D94),"-",$D$101/$D$98*D94)</f>
        <v>-</v>
      </c>
      <c r="F94" s="388"/>
      <c r="G94" s="317" t="str">
        <f>IF(ISBLANK(F94),"-",$D$101/$F$98*F94)</f>
        <v>-</v>
      </c>
      <c r="I94" s="318"/>
    </row>
    <row r="95" spans="1:12" ht="27" customHeight="1" x14ac:dyDescent="0.4">
      <c r="A95" s="297" t="s">
        <v>70</v>
      </c>
      <c r="B95" s="298">
        <v>1</v>
      </c>
      <c r="C95" s="389" t="s">
        <v>71</v>
      </c>
      <c r="D95" s="390">
        <f>AVERAGE(D91:D94)</f>
        <v>100809039.66666667</v>
      </c>
      <c r="E95" s="321">
        <f>AVERAGE(E91:E94)</f>
        <v>85936521.508346245</v>
      </c>
      <c r="F95" s="391">
        <f>AVERAGE(F91:F94)</f>
        <v>110605165.33333333</v>
      </c>
      <c r="G95" s="392">
        <f>AVERAGE(G91:G94)</f>
        <v>86077943.855312809</v>
      </c>
    </row>
    <row r="96" spans="1:12" ht="26.25" customHeight="1" x14ac:dyDescent="0.4">
      <c r="A96" s="297" t="s">
        <v>72</v>
      </c>
      <c r="B96" s="283">
        <v>1</v>
      </c>
      <c r="C96" s="393" t="s">
        <v>113</v>
      </c>
      <c r="D96" s="631">
        <v>17.72</v>
      </c>
      <c r="E96" s="313"/>
      <c r="F96" s="631">
        <v>19.41</v>
      </c>
    </row>
    <row r="97" spans="1:10" ht="26.25" customHeight="1" x14ac:dyDescent="0.4">
      <c r="A97" s="297" t="s">
        <v>74</v>
      </c>
      <c r="B97" s="283">
        <v>1</v>
      </c>
      <c r="C97" s="394" t="s">
        <v>114</v>
      </c>
      <c r="D97" s="395">
        <f>D96*$B$87</f>
        <v>17.72</v>
      </c>
      <c r="E97" s="328"/>
      <c r="F97" s="327">
        <f>F96*$B$87</f>
        <v>19.41</v>
      </c>
    </row>
    <row r="98" spans="1:10" ht="19.5" customHeight="1" x14ac:dyDescent="0.3">
      <c r="A98" s="297" t="s">
        <v>76</v>
      </c>
      <c r="B98" s="396">
        <f>(B97/B96)*(B95/B94)*(B93/B92)*(B91/B90)*B89</f>
        <v>50</v>
      </c>
      <c r="C98" s="394" t="s">
        <v>115</v>
      </c>
      <c r="D98" s="397">
        <f>D97*$B$83/100</f>
        <v>17.595959999999998</v>
      </c>
      <c r="E98" s="331"/>
      <c r="F98" s="330">
        <f>F97*$B$83/100</f>
        <v>19.27413</v>
      </c>
    </row>
    <row r="99" spans="1:10" ht="19.5" customHeight="1" x14ac:dyDescent="0.3">
      <c r="A99" s="650" t="s">
        <v>78</v>
      </c>
      <c r="B99" s="665"/>
      <c r="C99" s="394" t="s">
        <v>116</v>
      </c>
      <c r="D99" s="398">
        <f>D98/$B$98</f>
        <v>0.35191919999999999</v>
      </c>
      <c r="E99" s="331"/>
      <c r="F99" s="334">
        <f>F98/$B$98</f>
        <v>0.38548260000000001</v>
      </c>
      <c r="G99" s="399"/>
      <c r="H99" s="323"/>
    </row>
    <row r="100" spans="1:10" ht="19.5" customHeight="1" x14ac:dyDescent="0.3">
      <c r="A100" s="652"/>
      <c r="B100" s="666"/>
      <c r="C100" s="394" t="s">
        <v>80</v>
      </c>
      <c r="D100" s="400">
        <v>0.3</v>
      </c>
      <c r="F100" s="339"/>
      <c r="G100" s="401"/>
      <c r="H100" s="323"/>
    </row>
    <row r="101" spans="1:10" ht="18.75" x14ac:dyDescent="0.3">
      <c r="C101" s="394" t="s">
        <v>81</v>
      </c>
      <c r="D101" s="395">
        <f>D100*$B$98</f>
        <v>15</v>
      </c>
      <c r="F101" s="339"/>
      <c r="G101" s="399"/>
      <c r="H101" s="323"/>
    </row>
    <row r="102" spans="1:10" ht="19.5" customHeight="1" x14ac:dyDescent="0.3">
      <c r="C102" s="402" t="s">
        <v>82</v>
      </c>
      <c r="D102" s="403">
        <f>D101/B34</f>
        <v>15</v>
      </c>
      <c r="F102" s="343"/>
      <c r="G102" s="399"/>
      <c r="H102" s="323"/>
      <c r="J102" s="404"/>
    </row>
    <row r="103" spans="1:10" ht="18.75" x14ac:dyDescent="0.3">
      <c r="C103" s="405" t="s">
        <v>117</v>
      </c>
      <c r="D103" s="406">
        <f>AVERAGE(E91:E94,G91:G94)</f>
        <v>86007232.681829527</v>
      </c>
      <c r="F103" s="343"/>
      <c r="G103" s="407"/>
      <c r="H103" s="323"/>
      <c r="J103" s="408"/>
    </row>
    <row r="104" spans="1:10" ht="18.75" x14ac:dyDescent="0.3">
      <c r="C104" s="373" t="s">
        <v>84</v>
      </c>
      <c r="D104" s="409">
        <f>STDEV(E91:E94,G91:G94)/D103</f>
        <v>4.4460154027319513E-3</v>
      </c>
      <c r="F104" s="343"/>
      <c r="G104" s="399"/>
      <c r="H104" s="323"/>
      <c r="J104" s="408"/>
    </row>
    <row r="105" spans="1:10" ht="19.5" customHeight="1" x14ac:dyDescent="0.3">
      <c r="C105" s="375" t="s">
        <v>20</v>
      </c>
      <c r="D105" s="410">
        <f>COUNT(E91:E94,G91:G94)</f>
        <v>6</v>
      </c>
      <c r="F105" s="343"/>
      <c r="G105" s="399"/>
      <c r="H105" s="323"/>
      <c r="J105" s="408"/>
    </row>
    <row r="106" spans="1:10" ht="19.5" customHeight="1" x14ac:dyDescent="0.3">
      <c r="A106" s="347"/>
      <c r="B106" s="347"/>
      <c r="C106" s="347"/>
      <c r="D106" s="347"/>
      <c r="E106" s="347"/>
    </row>
    <row r="107" spans="1:10" ht="26.25" customHeight="1" x14ac:dyDescent="0.4">
      <c r="A107" s="295" t="s">
        <v>118</v>
      </c>
      <c r="B107" s="296">
        <v>1000</v>
      </c>
      <c r="C107" s="411" t="s">
        <v>119</v>
      </c>
      <c r="D107" s="412" t="s">
        <v>63</v>
      </c>
      <c r="E107" s="413" t="s">
        <v>120</v>
      </c>
      <c r="F107" s="414" t="s">
        <v>121</v>
      </c>
    </row>
    <row r="108" spans="1:10" ht="26.25" customHeight="1" x14ac:dyDescent="0.4">
      <c r="A108" s="297" t="s">
        <v>122</v>
      </c>
      <c r="B108" s="298">
        <v>1</v>
      </c>
      <c r="C108" s="415">
        <v>1</v>
      </c>
      <c r="D108" s="416">
        <v>81062901</v>
      </c>
      <c r="E108" s="448">
        <f t="shared" ref="E108:E113" si="1">IF(ISBLANK(D108),"-",D108/$D$103*$D$100*$B$116)</f>
        <v>282.75378176581847</v>
      </c>
      <c r="F108" s="599">
        <f>IF(ISBLANK(D108), "-", E108/$B$56)</f>
        <v>0.94251260588606156</v>
      </c>
    </row>
    <row r="109" spans="1:10" ht="26.25" customHeight="1" x14ac:dyDescent="0.4">
      <c r="A109" s="297" t="s">
        <v>95</v>
      </c>
      <c r="B109" s="298">
        <v>1</v>
      </c>
      <c r="C109" s="415">
        <v>2</v>
      </c>
      <c r="D109" s="416">
        <v>79023765</v>
      </c>
      <c r="E109" s="449">
        <f t="shared" si="1"/>
        <v>275.64111483159638</v>
      </c>
      <c r="F109" s="599">
        <f t="shared" ref="F108:F112" si="2">IF(ISBLANK(D109), "-", E109/$B$56)</f>
        <v>0.9188037161053213</v>
      </c>
    </row>
    <row r="110" spans="1:10" ht="26.25" customHeight="1" x14ac:dyDescent="0.4">
      <c r="A110" s="297" t="s">
        <v>96</v>
      </c>
      <c r="B110" s="298">
        <v>1</v>
      </c>
      <c r="C110" s="415">
        <v>3</v>
      </c>
      <c r="D110" s="416">
        <v>84437409</v>
      </c>
      <c r="E110" s="449">
        <f t="shared" si="1"/>
        <v>294.52433138627941</v>
      </c>
      <c r="F110" s="599">
        <f t="shared" si="2"/>
        <v>0.98174777128759805</v>
      </c>
    </row>
    <row r="111" spans="1:10" ht="26.25" customHeight="1" x14ac:dyDescent="0.4">
      <c r="A111" s="297" t="s">
        <v>97</v>
      </c>
      <c r="B111" s="298">
        <v>1</v>
      </c>
      <c r="C111" s="415">
        <v>4</v>
      </c>
      <c r="D111" s="416">
        <v>80613262</v>
      </c>
      <c r="E111" s="449">
        <f t="shared" si="1"/>
        <v>281.18540552821753</v>
      </c>
      <c r="F111" s="599">
        <f t="shared" si="2"/>
        <v>0.93728468509405838</v>
      </c>
    </row>
    <row r="112" spans="1:10" ht="26.25" customHeight="1" x14ac:dyDescent="0.4">
      <c r="A112" s="297" t="s">
        <v>98</v>
      </c>
      <c r="B112" s="298">
        <v>1</v>
      </c>
      <c r="C112" s="415">
        <v>5</v>
      </c>
      <c r="D112" s="416">
        <v>84461234</v>
      </c>
      <c r="E112" s="449">
        <f t="shared" si="1"/>
        <v>294.60743486231428</v>
      </c>
      <c r="F112" s="599">
        <f t="shared" si="2"/>
        <v>0.98202478287438089</v>
      </c>
    </row>
    <row r="113" spans="1:10" ht="26.25" customHeight="1" x14ac:dyDescent="0.4">
      <c r="A113" s="297" t="s">
        <v>100</v>
      </c>
      <c r="B113" s="298">
        <v>1</v>
      </c>
      <c r="C113" s="417">
        <v>6</v>
      </c>
      <c r="D113" s="418">
        <v>84180850</v>
      </c>
      <c r="E113" s="450">
        <f t="shared" si="1"/>
        <v>293.62943339223824</v>
      </c>
      <c r="F113" s="419">
        <f>IF(ISBLANK(D113), "-", E113/$B$56)</f>
        <v>0.97876477797412742</v>
      </c>
    </row>
    <row r="114" spans="1:10" ht="26.25" customHeight="1" x14ac:dyDescent="0.4">
      <c r="A114" s="297" t="s">
        <v>101</v>
      </c>
      <c r="B114" s="298">
        <v>1</v>
      </c>
      <c r="C114" s="415"/>
      <c r="D114" s="370"/>
      <c r="E114" s="271"/>
      <c r="F114" s="420"/>
    </row>
    <row r="115" spans="1:10" ht="26.25" customHeight="1" x14ac:dyDescent="0.4">
      <c r="A115" s="297" t="s">
        <v>102</v>
      </c>
      <c r="B115" s="298">
        <v>1</v>
      </c>
      <c r="C115" s="415"/>
      <c r="D115" s="421"/>
      <c r="E115" s="422" t="s">
        <v>71</v>
      </c>
      <c r="F115" s="423">
        <f>AVERAGE(F108:F113)</f>
        <v>0.95685638987025801</v>
      </c>
    </row>
    <row r="116" spans="1:10" ht="27" customHeight="1" x14ac:dyDescent="0.4">
      <c r="A116" s="297" t="s">
        <v>103</v>
      </c>
      <c r="B116" s="329">
        <f>(B115/B114)*(B113/B112)*(B111/B110)*(B109/B108)*B107</f>
        <v>1000</v>
      </c>
      <c r="C116" s="424"/>
      <c r="D116" s="425"/>
      <c r="E116" s="389" t="s">
        <v>84</v>
      </c>
      <c r="F116" s="426">
        <f>STDEV(F108:F113)/F115</f>
        <v>2.869642908784106E-2</v>
      </c>
      <c r="I116" s="271"/>
    </row>
    <row r="117" spans="1:10" ht="27" customHeight="1" x14ac:dyDescent="0.4">
      <c r="A117" s="650" t="s">
        <v>78</v>
      </c>
      <c r="B117" s="651"/>
      <c r="C117" s="427"/>
      <c r="D117" s="428"/>
      <c r="E117" s="429" t="s">
        <v>20</v>
      </c>
      <c r="F117" s="430">
        <f>COUNT(F108:F113)</f>
        <v>6</v>
      </c>
      <c r="I117" s="271"/>
      <c r="J117" s="408"/>
    </row>
    <row r="118" spans="1:10" ht="19.5" customHeight="1" x14ac:dyDescent="0.3">
      <c r="A118" s="652"/>
      <c r="B118" s="653"/>
      <c r="C118" s="271"/>
      <c r="D118" s="271"/>
      <c r="E118" s="271"/>
      <c r="F118" s="370"/>
      <c r="G118" s="271"/>
      <c r="H118" s="271"/>
      <c r="I118" s="271"/>
    </row>
    <row r="119" spans="1:10" ht="18.75" x14ac:dyDescent="0.3">
      <c r="A119" s="439"/>
      <c r="B119" s="293"/>
      <c r="C119" s="271"/>
      <c r="D119" s="271"/>
      <c r="E119" s="271"/>
      <c r="F119" s="370"/>
      <c r="G119" s="271"/>
      <c r="H119" s="271"/>
      <c r="I119" s="271"/>
    </row>
    <row r="120" spans="1:10" ht="26.25" customHeight="1" x14ac:dyDescent="0.4">
      <c r="A120" s="281" t="s">
        <v>106</v>
      </c>
      <c r="B120" s="377" t="s">
        <v>123</v>
      </c>
      <c r="C120" s="654" t="str">
        <f>B20</f>
        <v>Efavirenz 600mg, Lamivudine 300mg and Tenofovir Disoproxil Fumarate 300mg Tablets</v>
      </c>
      <c r="D120" s="654"/>
      <c r="E120" s="378" t="s">
        <v>124</v>
      </c>
      <c r="F120" s="378"/>
      <c r="G120" s="379">
        <f>F115</f>
        <v>0.95685638987025801</v>
      </c>
      <c r="H120" s="271"/>
      <c r="I120" s="271"/>
    </row>
    <row r="121" spans="1:10" ht="19.5" customHeight="1" x14ac:dyDescent="0.3">
      <c r="A121" s="431"/>
      <c r="B121" s="431"/>
      <c r="C121" s="432"/>
      <c r="D121" s="432"/>
      <c r="E121" s="432"/>
      <c r="F121" s="432"/>
      <c r="G121" s="432"/>
      <c r="H121" s="432"/>
    </row>
    <row r="122" spans="1:10" ht="18.75" x14ac:dyDescent="0.3">
      <c r="B122" s="655" t="s">
        <v>26</v>
      </c>
      <c r="C122" s="655"/>
      <c r="E122" s="384" t="s">
        <v>27</v>
      </c>
      <c r="F122" s="433"/>
      <c r="G122" s="655" t="s">
        <v>28</v>
      </c>
      <c r="H122" s="655"/>
    </row>
    <row r="123" spans="1:10" ht="69.95" customHeight="1" x14ac:dyDescent="0.3">
      <c r="A123" s="434" t="s">
        <v>29</v>
      </c>
      <c r="B123" s="435"/>
      <c r="C123" s="435"/>
      <c r="E123" s="435"/>
      <c r="F123" s="271"/>
      <c r="G123" s="436"/>
      <c r="H123" s="436"/>
    </row>
    <row r="124" spans="1:10" ht="69.95" customHeight="1" x14ac:dyDescent="0.3">
      <c r="A124" s="434" t="s">
        <v>30</v>
      </c>
      <c r="B124" s="437"/>
      <c r="C124" s="437"/>
      <c r="E124" s="437"/>
      <c r="F124" s="271"/>
      <c r="G124" s="438"/>
      <c r="H124" s="438"/>
    </row>
    <row r="125" spans="1:10" ht="18.75" x14ac:dyDescent="0.3">
      <c r="A125" s="369"/>
      <c r="B125" s="369"/>
      <c r="C125" s="370"/>
      <c r="D125" s="370"/>
      <c r="E125" s="370"/>
      <c r="F125" s="374"/>
      <c r="G125" s="370"/>
      <c r="H125" s="370"/>
      <c r="I125" s="271"/>
    </row>
    <row r="126" spans="1:10" ht="18.75" x14ac:dyDescent="0.3">
      <c r="A126" s="369"/>
      <c r="B126" s="369"/>
      <c r="C126" s="370"/>
      <c r="D126" s="370"/>
      <c r="E126" s="370"/>
      <c r="F126" s="374"/>
      <c r="G126" s="370"/>
      <c r="H126" s="370"/>
      <c r="I126" s="271"/>
    </row>
    <row r="127" spans="1:10" ht="18.75" x14ac:dyDescent="0.3">
      <c r="A127" s="369"/>
      <c r="B127" s="369"/>
      <c r="C127" s="370"/>
      <c r="D127" s="370"/>
      <c r="E127" s="370"/>
      <c r="F127" s="374"/>
      <c r="G127" s="370"/>
      <c r="H127" s="370"/>
      <c r="I127" s="271"/>
    </row>
    <row r="128" spans="1:10" ht="18.75" x14ac:dyDescent="0.3">
      <c r="A128" s="369"/>
      <c r="B128" s="369"/>
      <c r="C128" s="370"/>
      <c r="D128" s="370"/>
      <c r="E128" s="370"/>
      <c r="F128" s="374"/>
      <c r="G128" s="370"/>
      <c r="H128" s="370"/>
      <c r="I128" s="271"/>
    </row>
    <row r="129" spans="1:9" ht="18.75" x14ac:dyDescent="0.3">
      <c r="A129" s="369"/>
      <c r="B129" s="369"/>
      <c r="C129" s="370"/>
      <c r="D129" s="370"/>
      <c r="E129" s="370"/>
      <c r="F129" s="374"/>
      <c r="G129" s="370"/>
      <c r="H129" s="370"/>
      <c r="I129" s="271"/>
    </row>
    <row r="130" spans="1:9" ht="18.75" x14ac:dyDescent="0.3">
      <c r="A130" s="369"/>
      <c r="B130" s="369"/>
      <c r="C130" s="370"/>
      <c r="D130" s="370"/>
      <c r="E130" s="370"/>
      <c r="F130" s="374"/>
      <c r="G130" s="370"/>
      <c r="H130" s="370"/>
      <c r="I130" s="271"/>
    </row>
    <row r="131" spans="1:9" ht="18.75" x14ac:dyDescent="0.3">
      <c r="A131" s="369"/>
      <c r="B131" s="369"/>
      <c r="C131" s="370"/>
      <c r="D131" s="370"/>
      <c r="E131" s="370"/>
      <c r="F131" s="374"/>
      <c r="G131" s="370"/>
      <c r="H131" s="370"/>
      <c r="I131" s="271"/>
    </row>
    <row r="132" spans="1:9" ht="18.75" x14ac:dyDescent="0.3">
      <c r="A132" s="369"/>
      <c r="B132" s="369"/>
      <c r="C132" s="370"/>
      <c r="D132" s="370"/>
      <c r="E132" s="370"/>
      <c r="F132" s="374"/>
      <c r="G132" s="370"/>
      <c r="H132" s="370"/>
      <c r="I132" s="271"/>
    </row>
    <row r="133" spans="1:9" ht="18.75" x14ac:dyDescent="0.3">
      <c r="A133" s="369"/>
      <c r="B133" s="369"/>
      <c r="C133" s="370"/>
      <c r="D133" s="370"/>
      <c r="E133" s="370"/>
      <c r="F133" s="374"/>
      <c r="G133" s="370"/>
      <c r="H133" s="370"/>
      <c r="I133" s="27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3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8" t="s">
        <v>45</v>
      </c>
      <c r="B1" s="648"/>
      <c r="C1" s="648"/>
      <c r="D1" s="648"/>
      <c r="E1" s="648"/>
      <c r="F1" s="648"/>
      <c r="G1" s="648"/>
      <c r="H1" s="648"/>
      <c r="I1" s="648"/>
    </row>
    <row r="2" spans="1:9" ht="18.75" customHeight="1" x14ac:dyDescent="0.25">
      <c r="A2" s="648"/>
      <c r="B2" s="648"/>
      <c r="C2" s="648"/>
      <c r="D2" s="648"/>
      <c r="E2" s="648"/>
      <c r="F2" s="648"/>
      <c r="G2" s="648"/>
      <c r="H2" s="648"/>
      <c r="I2" s="648"/>
    </row>
    <row r="3" spans="1:9" ht="18.75" customHeight="1" x14ac:dyDescent="0.25">
      <c r="A3" s="648"/>
      <c r="B3" s="648"/>
      <c r="C3" s="648"/>
      <c r="D3" s="648"/>
      <c r="E3" s="648"/>
      <c r="F3" s="648"/>
      <c r="G3" s="648"/>
      <c r="H3" s="648"/>
      <c r="I3" s="648"/>
    </row>
    <row r="4" spans="1:9" ht="18.75" customHeight="1" x14ac:dyDescent="0.25">
      <c r="A4" s="648"/>
      <c r="B4" s="648"/>
      <c r="C4" s="648"/>
      <c r="D4" s="648"/>
      <c r="E4" s="648"/>
      <c r="F4" s="648"/>
      <c r="G4" s="648"/>
      <c r="H4" s="648"/>
      <c r="I4" s="648"/>
    </row>
    <row r="5" spans="1:9" ht="18.75" customHeight="1" x14ac:dyDescent="0.25">
      <c r="A5" s="648"/>
      <c r="B5" s="648"/>
      <c r="C5" s="648"/>
      <c r="D5" s="648"/>
      <c r="E5" s="648"/>
      <c r="F5" s="648"/>
      <c r="G5" s="648"/>
      <c r="H5" s="648"/>
      <c r="I5" s="648"/>
    </row>
    <row r="6" spans="1:9" ht="18.75" customHeight="1" x14ac:dyDescent="0.25">
      <c r="A6" s="648"/>
      <c r="B6" s="648"/>
      <c r="C6" s="648"/>
      <c r="D6" s="648"/>
      <c r="E6" s="648"/>
      <c r="F6" s="648"/>
      <c r="G6" s="648"/>
      <c r="H6" s="648"/>
      <c r="I6" s="648"/>
    </row>
    <row r="7" spans="1:9" ht="18.75" customHeight="1" x14ac:dyDescent="0.25">
      <c r="A7" s="648"/>
      <c r="B7" s="648"/>
      <c r="C7" s="648"/>
      <c r="D7" s="648"/>
      <c r="E7" s="648"/>
      <c r="F7" s="648"/>
      <c r="G7" s="648"/>
      <c r="H7" s="648"/>
      <c r="I7" s="648"/>
    </row>
    <row r="8" spans="1:9" x14ac:dyDescent="0.25">
      <c r="A8" s="649" t="s">
        <v>46</v>
      </c>
      <c r="B8" s="649"/>
      <c r="C8" s="649"/>
      <c r="D8" s="649"/>
      <c r="E8" s="649"/>
      <c r="F8" s="649"/>
      <c r="G8" s="649"/>
      <c r="H8" s="649"/>
      <c r="I8" s="649"/>
    </row>
    <row r="9" spans="1:9" x14ac:dyDescent="0.25">
      <c r="A9" s="649"/>
      <c r="B9" s="649"/>
      <c r="C9" s="649"/>
      <c r="D9" s="649"/>
      <c r="E9" s="649"/>
      <c r="F9" s="649"/>
      <c r="G9" s="649"/>
      <c r="H9" s="649"/>
      <c r="I9" s="649"/>
    </row>
    <row r="10" spans="1:9" x14ac:dyDescent="0.25">
      <c r="A10" s="649"/>
      <c r="B10" s="649"/>
      <c r="C10" s="649"/>
      <c r="D10" s="649"/>
      <c r="E10" s="649"/>
      <c r="F10" s="649"/>
      <c r="G10" s="649"/>
      <c r="H10" s="649"/>
      <c r="I10" s="649"/>
    </row>
    <row r="11" spans="1:9" x14ac:dyDescent="0.25">
      <c r="A11" s="649"/>
      <c r="B11" s="649"/>
      <c r="C11" s="649"/>
      <c r="D11" s="649"/>
      <c r="E11" s="649"/>
      <c r="F11" s="649"/>
      <c r="G11" s="649"/>
      <c r="H11" s="649"/>
      <c r="I11" s="649"/>
    </row>
    <row r="12" spans="1:9" x14ac:dyDescent="0.25">
      <c r="A12" s="649"/>
      <c r="B12" s="649"/>
      <c r="C12" s="649"/>
      <c r="D12" s="649"/>
      <c r="E12" s="649"/>
      <c r="F12" s="649"/>
      <c r="G12" s="649"/>
      <c r="H12" s="649"/>
      <c r="I12" s="649"/>
    </row>
    <row r="13" spans="1:9" x14ac:dyDescent="0.25">
      <c r="A13" s="649"/>
      <c r="B13" s="649"/>
      <c r="C13" s="649"/>
      <c r="D13" s="649"/>
      <c r="E13" s="649"/>
      <c r="F13" s="649"/>
      <c r="G13" s="649"/>
      <c r="H13" s="649"/>
      <c r="I13" s="649"/>
    </row>
    <row r="14" spans="1:9" x14ac:dyDescent="0.25">
      <c r="A14" s="649"/>
      <c r="B14" s="649"/>
      <c r="C14" s="649"/>
      <c r="D14" s="649"/>
      <c r="E14" s="649"/>
      <c r="F14" s="649"/>
      <c r="G14" s="649"/>
      <c r="H14" s="649"/>
      <c r="I14" s="649"/>
    </row>
    <row r="15" spans="1:9" ht="19.5" customHeight="1" x14ac:dyDescent="0.3">
      <c r="A15" s="451"/>
    </row>
    <row r="16" spans="1:9" ht="19.5" customHeight="1" x14ac:dyDescent="0.3">
      <c r="A16" s="682" t="s">
        <v>31</v>
      </c>
      <c r="B16" s="683"/>
      <c r="C16" s="683"/>
      <c r="D16" s="683"/>
      <c r="E16" s="683"/>
      <c r="F16" s="683"/>
      <c r="G16" s="683"/>
      <c r="H16" s="684"/>
    </row>
    <row r="17" spans="1:14" ht="20.25" customHeight="1" x14ac:dyDescent="0.25">
      <c r="A17" s="685" t="s">
        <v>47</v>
      </c>
      <c r="B17" s="685"/>
      <c r="C17" s="685"/>
      <c r="D17" s="685"/>
      <c r="E17" s="685"/>
      <c r="F17" s="685"/>
      <c r="G17" s="685"/>
      <c r="H17" s="685"/>
    </row>
    <row r="18" spans="1:14" ht="26.25" customHeight="1" x14ac:dyDescent="0.4">
      <c r="A18" s="453" t="s">
        <v>33</v>
      </c>
      <c r="B18" s="681" t="s">
        <v>5</v>
      </c>
      <c r="C18" s="681"/>
      <c r="D18" s="618"/>
      <c r="E18" s="454"/>
      <c r="F18" s="455"/>
      <c r="G18" s="455"/>
      <c r="H18" s="455"/>
    </row>
    <row r="19" spans="1:14" ht="26.25" customHeight="1" x14ac:dyDescent="0.4">
      <c r="A19" s="453" t="s">
        <v>34</v>
      </c>
      <c r="B19" s="456" t="s">
        <v>7</v>
      </c>
      <c r="C19" s="620">
        <v>1</v>
      </c>
      <c r="D19" s="455"/>
      <c r="E19" s="455"/>
      <c r="F19" s="455"/>
      <c r="G19" s="455"/>
      <c r="H19" s="455"/>
    </row>
    <row r="20" spans="1:14" ht="26.25" customHeight="1" x14ac:dyDescent="0.4">
      <c r="A20" s="453" t="s">
        <v>35</v>
      </c>
      <c r="B20" s="686" t="s">
        <v>9</v>
      </c>
      <c r="C20" s="686"/>
      <c r="D20" s="455"/>
      <c r="E20" s="455"/>
      <c r="F20" s="455"/>
      <c r="G20" s="455"/>
      <c r="H20" s="455"/>
    </row>
    <row r="21" spans="1:14" ht="26.25" customHeight="1" x14ac:dyDescent="0.4">
      <c r="A21" s="453" t="s">
        <v>36</v>
      </c>
      <c r="B21" s="686" t="s">
        <v>11</v>
      </c>
      <c r="C21" s="686"/>
      <c r="D21" s="686"/>
      <c r="E21" s="686"/>
      <c r="F21" s="686"/>
      <c r="G21" s="686"/>
      <c r="H21" s="686"/>
      <c r="I21" s="457"/>
    </row>
    <row r="22" spans="1:14" ht="26.25" customHeight="1" x14ac:dyDescent="0.4">
      <c r="A22" s="453" t="s">
        <v>37</v>
      </c>
      <c r="B22" s="458" t="s">
        <v>12</v>
      </c>
      <c r="C22" s="455"/>
      <c r="D22" s="455"/>
      <c r="E22" s="455"/>
      <c r="F22" s="455"/>
      <c r="G22" s="455"/>
      <c r="H22" s="455"/>
    </row>
    <row r="23" spans="1:14" ht="26.25" customHeight="1" x14ac:dyDescent="0.4">
      <c r="A23" s="453" t="s">
        <v>38</v>
      </c>
      <c r="B23" s="458"/>
      <c r="C23" s="455"/>
      <c r="D23" s="455"/>
      <c r="E23" s="455"/>
      <c r="F23" s="455"/>
      <c r="G23" s="455"/>
      <c r="H23" s="455"/>
    </row>
    <row r="24" spans="1:14" ht="18.75" x14ac:dyDescent="0.3">
      <c r="A24" s="453"/>
      <c r="B24" s="459"/>
    </row>
    <row r="25" spans="1:14" ht="18.75" x14ac:dyDescent="0.3">
      <c r="A25" s="460" t="s">
        <v>1</v>
      </c>
      <c r="B25" s="459"/>
    </row>
    <row r="26" spans="1:14" ht="26.25" customHeight="1" x14ac:dyDescent="0.4">
      <c r="A26" s="461" t="s">
        <v>4</v>
      </c>
      <c r="B26" s="681" t="s">
        <v>131</v>
      </c>
      <c r="C26" s="681"/>
    </row>
    <row r="27" spans="1:14" ht="26.25" customHeight="1" x14ac:dyDescent="0.4">
      <c r="A27" s="462" t="s">
        <v>48</v>
      </c>
      <c r="B27" s="679" t="s">
        <v>132</v>
      </c>
      <c r="C27" s="679"/>
    </row>
    <row r="28" spans="1:14" ht="27" customHeight="1" x14ac:dyDescent="0.4">
      <c r="A28" s="462" t="s">
        <v>6</v>
      </c>
      <c r="B28" s="463">
        <v>99.3</v>
      </c>
    </row>
    <row r="29" spans="1:14" s="13" customFormat="1" ht="27" customHeight="1" x14ac:dyDescent="0.4">
      <c r="A29" s="462" t="s">
        <v>49</v>
      </c>
      <c r="B29" s="464">
        <v>0</v>
      </c>
      <c r="C29" s="656" t="s">
        <v>50</v>
      </c>
      <c r="D29" s="657"/>
      <c r="E29" s="657"/>
      <c r="F29" s="657"/>
      <c r="G29" s="658"/>
      <c r="I29" s="465"/>
      <c r="J29" s="465"/>
      <c r="K29" s="465"/>
      <c r="L29" s="465"/>
    </row>
    <row r="30" spans="1:14" s="13" customFormat="1" ht="19.5" customHeight="1" x14ac:dyDescent="0.3">
      <c r="A30" s="462" t="s">
        <v>51</v>
      </c>
      <c r="B30" s="466">
        <f>B28-B29</f>
        <v>99.3</v>
      </c>
      <c r="C30" s="467"/>
      <c r="D30" s="467"/>
      <c r="E30" s="467"/>
      <c r="F30" s="467"/>
      <c r="G30" s="468"/>
      <c r="I30" s="465"/>
      <c r="J30" s="465"/>
      <c r="K30" s="465"/>
      <c r="L30" s="465"/>
    </row>
    <row r="31" spans="1:14" s="13" customFormat="1" ht="27" customHeight="1" x14ac:dyDescent="0.4">
      <c r="A31" s="462" t="s">
        <v>52</v>
      </c>
      <c r="B31" s="469">
        <v>1</v>
      </c>
      <c r="C31" s="659" t="s">
        <v>53</v>
      </c>
      <c r="D31" s="660"/>
      <c r="E31" s="660"/>
      <c r="F31" s="660"/>
      <c r="G31" s="660"/>
      <c r="H31" s="661"/>
      <c r="I31" s="465"/>
      <c r="J31" s="465"/>
      <c r="K31" s="465"/>
      <c r="L31" s="465"/>
    </row>
    <row r="32" spans="1:14" s="13" customFormat="1" ht="27" customHeight="1" x14ac:dyDescent="0.4">
      <c r="A32" s="462" t="s">
        <v>54</v>
      </c>
      <c r="B32" s="469">
        <v>1</v>
      </c>
      <c r="C32" s="659" t="s">
        <v>55</v>
      </c>
      <c r="D32" s="660"/>
      <c r="E32" s="660"/>
      <c r="F32" s="660"/>
      <c r="G32" s="660"/>
      <c r="H32" s="661"/>
      <c r="I32" s="465"/>
      <c r="J32" s="465"/>
      <c r="K32" s="465"/>
      <c r="L32" s="470"/>
      <c r="M32" s="470"/>
      <c r="N32" s="471"/>
    </row>
    <row r="33" spans="1:14" s="13" customFormat="1" ht="17.25" customHeight="1" x14ac:dyDescent="0.3">
      <c r="A33" s="462"/>
      <c r="B33" s="472"/>
      <c r="C33" s="473"/>
      <c r="D33" s="473"/>
      <c r="E33" s="473"/>
      <c r="F33" s="473"/>
      <c r="G33" s="473"/>
      <c r="H33" s="473"/>
      <c r="I33" s="465"/>
      <c r="J33" s="465"/>
      <c r="K33" s="465"/>
      <c r="L33" s="470"/>
      <c r="M33" s="470"/>
      <c r="N33" s="471"/>
    </row>
    <row r="34" spans="1:14" s="13" customFormat="1" ht="18.75" x14ac:dyDescent="0.3">
      <c r="A34" s="462" t="s">
        <v>56</v>
      </c>
      <c r="B34" s="474">
        <f>B31/B32</f>
        <v>1</v>
      </c>
      <c r="C34" s="452" t="s">
        <v>57</v>
      </c>
      <c r="D34" s="452"/>
      <c r="E34" s="452"/>
      <c r="F34" s="452"/>
      <c r="G34" s="452"/>
      <c r="I34" s="465"/>
      <c r="J34" s="465"/>
      <c r="K34" s="465"/>
      <c r="L34" s="470"/>
      <c r="M34" s="470"/>
      <c r="N34" s="471"/>
    </row>
    <row r="35" spans="1:14" s="13" customFormat="1" ht="19.5" customHeight="1" x14ac:dyDescent="0.3">
      <c r="A35" s="462"/>
      <c r="B35" s="466"/>
      <c r="G35" s="452"/>
      <c r="I35" s="465"/>
      <c r="J35" s="465"/>
      <c r="K35" s="465"/>
      <c r="L35" s="470"/>
      <c r="M35" s="470"/>
      <c r="N35" s="471"/>
    </row>
    <row r="36" spans="1:14" s="13" customFormat="1" ht="27" customHeight="1" x14ac:dyDescent="0.4">
      <c r="A36" s="475" t="s">
        <v>58</v>
      </c>
      <c r="B36" s="476">
        <v>25</v>
      </c>
      <c r="C36" s="452"/>
      <c r="D36" s="662" t="s">
        <v>59</v>
      </c>
      <c r="E36" s="680"/>
      <c r="F36" s="662" t="s">
        <v>60</v>
      </c>
      <c r="G36" s="663"/>
      <c r="J36" s="465"/>
      <c r="K36" s="465"/>
      <c r="L36" s="470"/>
      <c r="M36" s="470"/>
      <c r="N36" s="471"/>
    </row>
    <row r="37" spans="1:14" s="13" customFormat="1" ht="27" customHeight="1" x14ac:dyDescent="0.4">
      <c r="A37" s="477" t="s">
        <v>61</v>
      </c>
      <c r="B37" s="478">
        <v>5</v>
      </c>
      <c r="C37" s="479" t="s">
        <v>62</v>
      </c>
      <c r="D37" s="480" t="s">
        <v>63</v>
      </c>
      <c r="E37" s="481" t="s">
        <v>64</v>
      </c>
      <c r="F37" s="480" t="s">
        <v>63</v>
      </c>
      <c r="G37" s="482" t="s">
        <v>64</v>
      </c>
      <c r="I37" s="483" t="s">
        <v>65</v>
      </c>
      <c r="J37" s="465"/>
      <c r="K37" s="465"/>
      <c r="L37" s="470"/>
      <c r="M37" s="470"/>
      <c r="N37" s="471"/>
    </row>
    <row r="38" spans="1:14" s="13" customFormat="1" ht="26.25" customHeight="1" x14ac:dyDescent="0.4">
      <c r="A38" s="477" t="s">
        <v>66</v>
      </c>
      <c r="B38" s="478">
        <v>50</v>
      </c>
      <c r="C38" s="484">
        <v>1</v>
      </c>
      <c r="D38" s="485">
        <v>13668144</v>
      </c>
      <c r="E38" s="486">
        <f>IF(ISBLANK(D38),"-",$D$48/$D$45*D38)</f>
        <v>11927639.053967025</v>
      </c>
      <c r="F38" s="485">
        <v>15177804</v>
      </c>
      <c r="G38" s="487">
        <f>IF(ISBLANK(F38),"-",$D$48/$F$45*F38)</f>
        <v>11763569.20196119</v>
      </c>
      <c r="I38" s="488"/>
      <c r="J38" s="465"/>
      <c r="K38" s="465"/>
      <c r="L38" s="470"/>
      <c r="M38" s="470"/>
      <c r="N38" s="471"/>
    </row>
    <row r="39" spans="1:14" s="13" customFormat="1" ht="26.25" customHeight="1" x14ac:dyDescent="0.4">
      <c r="A39" s="477" t="s">
        <v>67</v>
      </c>
      <c r="B39" s="478">
        <v>1</v>
      </c>
      <c r="C39" s="489">
        <v>2</v>
      </c>
      <c r="D39" s="490">
        <v>13598558</v>
      </c>
      <c r="E39" s="491">
        <f>IF(ISBLANK(D39),"-",$D$48/$D$45*D39)</f>
        <v>11866914.152970273</v>
      </c>
      <c r="F39" s="490">
        <v>15073525</v>
      </c>
      <c r="G39" s="492">
        <f>IF(ISBLANK(F39),"-",$D$48/$F$45*F39)</f>
        <v>11682747.679110367</v>
      </c>
      <c r="I39" s="664">
        <f>ABS((F43/D43*D42)-F42)/D42</f>
        <v>1.5071094250409667E-2</v>
      </c>
      <c r="J39" s="465"/>
      <c r="K39" s="465"/>
      <c r="L39" s="470"/>
      <c r="M39" s="470"/>
      <c r="N39" s="471"/>
    </row>
    <row r="40" spans="1:14" ht="26.25" customHeight="1" x14ac:dyDescent="0.4">
      <c r="A40" s="477" t="s">
        <v>68</v>
      </c>
      <c r="B40" s="478">
        <v>1</v>
      </c>
      <c r="C40" s="489">
        <v>3</v>
      </c>
      <c r="D40" s="490">
        <v>13459463</v>
      </c>
      <c r="E40" s="491">
        <f>IF(ISBLANK(D40),"-",$D$48/$D$45*D40)</f>
        <v>11745531.545777112</v>
      </c>
      <c r="F40" s="490">
        <v>14990051</v>
      </c>
      <c r="G40" s="492">
        <f>IF(ISBLANK(F40),"-",$D$48/$F$45*F40)</f>
        <v>11618051.088248836</v>
      </c>
      <c r="I40" s="664"/>
      <c r="L40" s="470"/>
      <c r="M40" s="470"/>
      <c r="N40" s="493"/>
    </row>
    <row r="41" spans="1:14" ht="27" customHeight="1" x14ac:dyDescent="0.4">
      <c r="A41" s="477" t="s">
        <v>69</v>
      </c>
      <c r="B41" s="478">
        <v>1</v>
      </c>
      <c r="C41" s="494">
        <v>4</v>
      </c>
      <c r="D41" s="495"/>
      <c r="E41" s="496" t="str">
        <f>IF(ISBLANK(D41),"-",$D$48/$D$45*D41)</f>
        <v>-</v>
      </c>
      <c r="F41" s="495"/>
      <c r="G41" s="497" t="str">
        <f>IF(ISBLANK(F41),"-",$D$48/$F$45*F41)</f>
        <v>-</v>
      </c>
      <c r="I41" s="498"/>
      <c r="L41" s="470"/>
      <c r="M41" s="470"/>
      <c r="N41" s="493"/>
    </row>
    <row r="42" spans="1:14" ht="27" customHeight="1" x14ac:dyDescent="0.4">
      <c r="A42" s="477" t="s">
        <v>70</v>
      </c>
      <c r="B42" s="478">
        <v>1</v>
      </c>
      <c r="C42" s="499" t="s">
        <v>71</v>
      </c>
      <c r="D42" s="500">
        <f>AVERAGE(D38:D41)</f>
        <v>13575388.333333334</v>
      </c>
      <c r="E42" s="501">
        <f>AVERAGE(E38:E41)</f>
        <v>11846694.91757147</v>
      </c>
      <c r="F42" s="500">
        <f>AVERAGE(F38:F41)</f>
        <v>15080460</v>
      </c>
      <c r="G42" s="502">
        <f>AVERAGE(G38:G41)</f>
        <v>11688122.656440131</v>
      </c>
      <c r="H42" s="503"/>
    </row>
    <row r="43" spans="1:14" ht="26.25" customHeight="1" x14ac:dyDescent="0.4">
      <c r="A43" s="477" t="s">
        <v>72</v>
      </c>
      <c r="B43" s="478">
        <v>1</v>
      </c>
      <c r="C43" s="504" t="s">
        <v>73</v>
      </c>
      <c r="D43" s="505">
        <v>17.309999999999999</v>
      </c>
      <c r="E43" s="493"/>
      <c r="F43" s="505">
        <v>19.489999999999998</v>
      </c>
      <c r="H43" s="503"/>
    </row>
    <row r="44" spans="1:14" ht="26.25" customHeight="1" x14ac:dyDescent="0.4">
      <c r="A44" s="477" t="s">
        <v>74</v>
      </c>
      <c r="B44" s="478">
        <v>1</v>
      </c>
      <c r="C44" s="506" t="s">
        <v>75</v>
      </c>
      <c r="D44" s="507">
        <f>D43*$B$34</f>
        <v>17.309999999999999</v>
      </c>
      <c r="E44" s="508"/>
      <c r="F44" s="507">
        <f>F43*$B$34</f>
        <v>19.489999999999998</v>
      </c>
      <c r="H44" s="503"/>
    </row>
    <row r="45" spans="1:14" ht="19.5" customHeight="1" x14ac:dyDescent="0.3">
      <c r="A45" s="477" t="s">
        <v>76</v>
      </c>
      <c r="B45" s="509">
        <f>(B44/B43)*(B42/B41)*(B40/B39)*(B38/B37)*B36</f>
        <v>250</v>
      </c>
      <c r="C45" s="506" t="s">
        <v>77</v>
      </c>
      <c r="D45" s="510">
        <f>D44*$B$30/100</f>
        <v>17.188829999999999</v>
      </c>
      <c r="E45" s="511"/>
      <c r="F45" s="510">
        <f>F44*$B$30/100</f>
        <v>19.353569999999998</v>
      </c>
      <c r="H45" s="503"/>
    </row>
    <row r="46" spans="1:14" ht="19.5" customHeight="1" x14ac:dyDescent="0.3">
      <c r="A46" s="650" t="s">
        <v>78</v>
      </c>
      <c r="B46" s="651"/>
      <c r="C46" s="506" t="s">
        <v>79</v>
      </c>
      <c r="D46" s="512">
        <f>D45/$B$45</f>
        <v>6.8755319999999995E-2</v>
      </c>
      <c r="E46" s="513"/>
      <c r="F46" s="514">
        <f>F45/$B$45</f>
        <v>7.7414279999999988E-2</v>
      </c>
      <c r="H46" s="503"/>
    </row>
    <row r="47" spans="1:14" ht="27" customHeight="1" x14ac:dyDescent="0.4">
      <c r="A47" s="652"/>
      <c r="B47" s="653"/>
      <c r="C47" s="515" t="s">
        <v>80</v>
      </c>
      <c r="D47" s="516">
        <v>0.06</v>
      </c>
      <c r="E47" s="517"/>
      <c r="F47" s="513"/>
      <c r="H47" s="503"/>
    </row>
    <row r="48" spans="1:14" ht="18.75" x14ac:dyDescent="0.3">
      <c r="C48" s="518" t="s">
        <v>81</v>
      </c>
      <c r="D48" s="510">
        <f>D47*$B$45</f>
        <v>15</v>
      </c>
      <c r="F48" s="519"/>
      <c r="H48" s="503"/>
    </row>
    <row r="49" spans="1:12" ht="19.5" customHeight="1" x14ac:dyDescent="0.3">
      <c r="C49" s="520" t="s">
        <v>82</v>
      </c>
      <c r="D49" s="521">
        <f>D48/B34</f>
        <v>15</v>
      </c>
      <c r="F49" s="519"/>
      <c r="H49" s="503"/>
    </row>
    <row r="50" spans="1:12" ht="18.75" x14ac:dyDescent="0.3">
      <c r="C50" s="475" t="s">
        <v>83</v>
      </c>
      <c r="D50" s="522">
        <f>AVERAGE(E38:E41,G38:G41)</f>
        <v>11767408.787005799</v>
      </c>
      <c r="F50" s="523"/>
      <c r="H50" s="503"/>
    </row>
    <row r="51" spans="1:12" ht="18.75" x14ac:dyDescent="0.3">
      <c r="C51" s="477" t="s">
        <v>84</v>
      </c>
      <c r="D51" s="524">
        <f>STDEV(E38:E41,G38:G41)/D50</f>
        <v>9.7296995153913924E-3</v>
      </c>
      <c r="F51" s="523"/>
      <c r="H51" s="503"/>
    </row>
    <row r="52" spans="1:12" ht="19.5" customHeight="1" x14ac:dyDescent="0.3">
      <c r="C52" s="525" t="s">
        <v>20</v>
      </c>
      <c r="D52" s="526">
        <f>COUNT(E38:E41,G38:G41)</f>
        <v>6</v>
      </c>
      <c r="F52" s="523"/>
    </row>
    <row r="54" spans="1:12" ht="18.75" x14ac:dyDescent="0.3">
      <c r="A54" s="527" t="s">
        <v>1</v>
      </c>
      <c r="B54" s="528" t="s">
        <v>85</v>
      </c>
    </row>
    <row r="55" spans="1:12" ht="18.75" x14ac:dyDescent="0.3">
      <c r="A55" s="452" t="s">
        <v>86</v>
      </c>
      <c r="B55" s="529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30" t="s">
        <v>87</v>
      </c>
      <c r="B56" s="531">
        <v>300</v>
      </c>
      <c r="C56" s="452" t="str">
        <f>B20</f>
        <v>Efavirenz 600mg, Lamivudine 300mg and Tenofovir Disoproxil Fumarate 300mg Tablets</v>
      </c>
      <c r="H56" s="532"/>
    </row>
    <row r="57" spans="1:12" ht="18.75" x14ac:dyDescent="0.3">
      <c r="A57" s="529" t="s">
        <v>88</v>
      </c>
      <c r="B57" s="619">
        <v>1897.4349999999999</v>
      </c>
      <c r="H57" s="532"/>
    </row>
    <row r="58" spans="1:12" ht="19.5" customHeight="1" thickBot="1" x14ac:dyDescent="0.35">
      <c r="H58" s="532"/>
    </row>
    <row r="59" spans="1:12" s="13" customFormat="1" ht="27" customHeight="1" thickBot="1" x14ac:dyDescent="0.45">
      <c r="A59" s="475" t="s">
        <v>89</v>
      </c>
      <c r="B59" s="476">
        <v>100</v>
      </c>
      <c r="C59" s="452"/>
      <c r="D59" s="533" t="s">
        <v>90</v>
      </c>
      <c r="E59" s="534" t="s">
        <v>62</v>
      </c>
      <c r="F59" s="534" t="s">
        <v>63</v>
      </c>
      <c r="G59" s="534" t="s">
        <v>91</v>
      </c>
      <c r="H59" s="479" t="s">
        <v>92</v>
      </c>
      <c r="L59" s="465"/>
    </row>
    <row r="60" spans="1:12" s="13" customFormat="1" ht="26.25" customHeight="1" x14ac:dyDescent="0.4">
      <c r="A60" s="477" t="s">
        <v>93</v>
      </c>
      <c r="B60" s="478">
        <v>5</v>
      </c>
      <c r="C60" s="667" t="s">
        <v>94</v>
      </c>
      <c r="D60" s="670">
        <v>727.11</v>
      </c>
      <c r="E60" s="535">
        <v>1</v>
      </c>
      <c r="F60" s="536">
        <v>22780493</v>
      </c>
      <c r="G60" s="621">
        <f>IF(ISBLANK(F60),"-",(F60/$D$50*$D$47*$B$68)*($B$57/$D$60))</f>
        <v>303.11003731979599</v>
      </c>
      <c r="H60" s="537">
        <f t="shared" ref="H60:H71" si="0">IF(ISBLANK(F60),"-",G60/$B$56)</f>
        <v>1.0103667910659866</v>
      </c>
      <c r="L60" s="465"/>
    </row>
    <row r="61" spans="1:12" s="13" customFormat="1" ht="26.25" customHeight="1" x14ac:dyDescent="0.4">
      <c r="A61" s="477" t="s">
        <v>95</v>
      </c>
      <c r="B61" s="478">
        <v>50</v>
      </c>
      <c r="C61" s="668"/>
      <c r="D61" s="671"/>
      <c r="E61" s="538">
        <v>2</v>
      </c>
      <c r="F61" s="490">
        <v>22782478</v>
      </c>
      <c r="G61" s="622">
        <f>IF(ISBLANK(F61),"-",(F61/$D$50*$D$47*$B$68)*($B$57/$D$60))</f>
        <v>303.13644910219597</v>
      </c>
      <c r="H61" s="539">
        <f t="shared" si="0"/>
        <v>1.0104548303406533</v>
      </c>
      <c r="L61" s="465"/>
    </row>
    <row r="62" spans="1:12" s="13" customFormat="1" ht="26.25" customHeight="1" x14ac:dyDescent="0.4">
      <c r="A62" s="477" t="s">
        <v>96</v>
      </c>
      <c r="B62" s="478">
        <v>1</v>
      </c>
      <c r="C62" s="668"/>
      <c r="D62" s="671"/>
      <c r="E62" s="538">
        <v>3</v>
      </c>
      <c r="F62" s="540">
        <v>22680223</v>
      </c>
      <c r="G62" s="622">
        <f>IF(ISBLANK(F62),"-",(F62/$D$50*$D$47*$B$68)*($B$57/$D$60))</f>
        <v>301.77587640229279</v>
      </c>
      <c r="H62" s="539">
        <f t="shared" si="0"/>
        <v>1.0059195880076426</v>
      </c>
      <c r="L62" s="465"/>
    </row>
    <row r="63" spans="1:12" ht="27" customHeight="1" thickBot="1" x14ac:dyDescent="0.45">
      <c r="A63" s="477" t="s">
        <v>97</v>
      </c>
      <c r="B63" s="478">
        <v>1</v>
      </c>
      <c r="C63" s="678"/>
      <c r="D63" s="672"/>
      <c r="E63" s="541">
        <v>4</v>
      </c>
      <c r="F63" s="542"/>
      <c r="G63" s="622" t="str">
        <f>IF(ISBLANK(F63),"-",(F63/$D$50*$D$47*$B$68)*($B$57/$D$60))</f>
        <v>-</v>
      </c>
      <c r="H63" s="539" t="str">
        <f t="shared" si="0"/>
        <v>-</v>
      </c>
    </row>
    <row r="64" spans="1:12" ht="26.25" customHeight="1" x14ac:dyDescent="0.4">
      <c r="A64" s="477" t="s">
        <v>98</v>
      </c>
      <c r="B64" s="478">
        <v>1</v>
      </c>
      <c r="C64" s="667" t="s">
        <v>99</v>
      </c>
      <c r="D64" s="670">
        <v>614.38</v>
      </c>
      <c r="E64" s="535">
        <v>1</v>
      </c>
      <c r="F64" s="536">
        <v>19440386</v>
      </c>
      <c r="G64" s="623">
        <f>IF(ISBLANK(F64),"-",(F64/$D$50*$D$47*$B$68)*($B$57/$D$64))</f>
        <v>306.12946413579664</v>
      </c>
      <c r="H64" s="543">
        <f t="shared" si="0"/>
        <v>1.0204315471193222</v>
      </c>
    </row>
    <row r="65" spans="1:8" ht="26.25" customHeight="1" x14ac:dyDescent="0.4">
      <c r="A65" s="477" t="s">
        <v>100</v>
      </c>
      <c r="B65" s="478">
        <v>1</v>
      </c>
      <c r="C65" s="668"/>
      <c r="D65" s="671"/>
      <c r="E65" s="538">
        <v>2</v>
      </c>
      <c r="F65" s="490">
        <v>19399240</v>
      </c>
      <c r="G65" s="624">
        <f>IF(ISBLANK(F65),"-",(F65/$D$50*$D$47*$B$68)*($B$57/$D$64))</f>
        <v>305.48153446344696</v>
      </c>
      <c r="H65" s="544">
        <f t="shared" si="0"/>
        <v>1.0182717815448232</v>
      </c>
    </row>
    <row r="66" spans="1:8" ht="26.25" customHeight="1" x14ac:dyDescent="0.4">
      <c r="A66" s="477" t="s">
        <v>101</v>
      </c>
      <c r="B66" s="478">
        <v>1</v>
      </c>
      <c r="C66" s="668"/>
      <c r="D66" s="671"/>
      <c r="E66" s="538">
        <v>3</v>
      </c>
      <c r="F66" s="490">
        <v>19349641</v>
      </c>
      <c r="G66" s="624">
        <f>IF(ISBLANK(F66),"-",(F66/$D$50*$D$47*$B$68)*($B$57/$D$64))</f>
        <v>304.70049465839003</v>
      </c>
      <c r="H66" s="544">
        <f t="shared" si="0"/>
        <v>1.0156683155279667</v>
      </c>
    </row>
    <row r="67" spans="1:8" ht="27" customHeight="1" thickBot="1" x14ac:dyDescent="0.45">
      <c r="A67" s="477" t="s">
        <v>102</v>
      </c>
      <c r="B67" s="478">
        <v>1</v>
      </c>
      <c r="C67" s="678"/>
      <c r="D67" s="672"/>
      <c r="E67" s="541">
        <v>4</v>
      </c>
      <c r="F67" s="542"/>
      <c r="G67" s="625" t="str">
        <f>IF(ISBLANK(F67),"-",(F67/$D$50*$D$47*$B$68)*($B$57/$D$64))</f>
        <v>-</v>
      </c>
      <c r="H67" s="545" t="str">
        <f t="shared" si="0"/>
        <v>-</v>
      </c>
    </row>
    <row r="68" spans="1:8" ht="26.25" customHeight="1" x14ac:dyDescent="0.4">
      <c r="A68" s="477" t="s">
        <v>103</v>
      </c>
      <c r="B68" s="546">
        <f>(B67/B66)*(B65/B64)*(B63/B62)*(B61/B60)*B59</f>
        <v>1000</v>
      </c>
      <c r="C68" s="667" t="s">
        <v>104</v>
      </c>
      <c r="D68" s="670">
        <v>749.69</v>
      </c>
      <c r="E68" s="535">
        <v>1</v>
      </c>
      <c r="F68" s="536">
        <v>22989498</v>
      </c>
      <c r="G68" s="623">
        <f>IF(ISBLANK(F68),"-",(F68/$D$50*$D$47*$B$68)*($B$57/$D$68))</f>
        <v>296.67782553419454</v>
      </c>
      <c r="H68" s="539">
        <f t="shared" si="0"/>
        <v>0.98892608511398183</v>
      </c>
    </row>
    <row r="69" spans="1:8" ht="27" customHeight="1" thickBot="1" x14ac:dyDescent="0.45">
      <c r="A69" s="525" t="s">
        <v>105</v>
      </c>
      <c r="B69" s="547">
        <f>(D47*B68)/B56*B57</f>
        <v>379.48700000000002</v>
      </c>
      <c r="C69" s="668"/>
      <c r="D69" s="671"/>
      <c r="E69" s="538">
        <v>2</v>
      </c>
      <c r="F69" s="490">
        <v>23108221</v>
      </c>
      <c r="G69" s="624">
        <f>IF(ISBLANK(F69),"-",(F69/$D$50*$D$47*$B$68)*($B$57/$D$68))</f>
        <v>298.20993734807132</v>
      </c>
      <c r="H69" s="539">
        <f t="shared" si="0"/>
        <v>0.99403312449357106</v>
      </c>
    </row>
    <row r="70" spans="1:8" ht="26.25" customHeight="1" x14ac:dyDescent="0.4">
      <c r="A70" s="673" t="s">
        <v>78</v>
      </c>
      <c r="B70" s="674"/>
      <c r="C70" s="668"/>
      <c r="D70" s="671"/>
      <c r="E70" s="538">
        <v>3</v>
      </c>
      <c r="F70" s="490">
        <v>23211737</v>
      </c>
      <c r="G70" s="624">
        <f>IF(ISBLANK(F70),"-",(F70/$D$50*$D$47*$B$68)*($B$57/$D$68))</f>
        <v>299.54580391584057</v>
      </c>
      <c r="H70" s="539">
        <f>IF(ISBLANK(F70),"-",G70/$B$56)</f>
        <v>0.99848601305280194</v>
      </c>
    </row>
    <row r="71" spans="1:8" ht="27" customHeight="1" thickBot="1" x14ac:dyDescent="0.45">
      <c r="A71" s="675"/>
      <c r="B71" s="676"/>
      <c r="C71" s="669"/>
      <c r="D71" s="672"/>
      <c r="E71" s="541">
        <v>4</v>
      </c>
      <c r="F71" s="542"/>
      <c r="G71" s="625" t="str">
        <f>IF(ISBLANK(F71),"-",(F71/$D$50*$D$47*$B$68)*($B$57/$D$68))</f>
        <v>-</v>
      </c>
      <c r="H71" s="548" t="str">
        <f t="shared" si="0"/>
        <v>-</v>
      </c>
    </row>
    <row r="72" spans="1:8" ht="26.25" customHeight="1" x14ac:dyDescent="0.4">
      <c r="A72" s="549"/>
      <c r="B72" s="549"/>
      <c r="C72" s="549"/>
      <c r="D72" s="549"/>
      <c r="E72" s="549"/>
      <c r="F72" s="550"/>
      <c r="G72" s="551" t="s">
        <v>71</v>
      </c>
      <c r="H72" s="552">
        <f>AVERAGE(H60:H71)</f>
        <v>1.0069508973629722</v>
      </c>
    </row>
    <row r="73" spans="1:8" ht="26.25" customHeight="1" x14ac:dyDescent="0.4">
      <c r="C73" s="549"/>
      <c r="D73" s="549"/>
      <c r="E73" s="549"/>
      <c r="F73" s="550"/>
      <c r="G73" s="553" t="s">
        <v>84</v>
      </c>
      <c r="H73" s="626">
        <f>STDEV(H60:H71)/H72</f>
        <v>1.095961583355845E-2</v>
      </c>
    </row>
    <row r="74" spans="1:8" ht="27" customHeight="1" x14ac:dyDescent="0.4">
      <c r="A74" s="549"/>
      <c r="B74" s="549"/>
      <c r="C74" s="550"/>
      <c r="D74" s="550"/>
      <c r="E74" s="554"/>
      <c r="F74" s="550"/>
      <c r="G74" s="555" t="s">
        <v>20</v>
      </c>
      <c r="H74" s="556">
        <f>COUNT(H60:H71)</f>
        <v>9</v>
      </c>
    </row>
    <row r="76" spans="1:8" ht="26.25" customHeight="1" x14ac:dyDescent="0.4">
      <c r="A76" s="461" t="s">
        <v>106</v>
      </c>
      <c r="B76" s="557" t="s">
        <v>107</v>
      </c>
      <c r="C76" s="654" t="str">
        <f>B20</f>
        <v>Efavirenz 600mg, Lamivudine 300mg and Tenofovir Disoproxil Fumarate 300mg Tablets</v>
      </c>
      <c r="D76" s="654"/>
      <c r="E76" s="558" t="s">
        <v>108</v>
      </c>
      <c r="F76" s="558"/>
      <c r="G76" s="559">
        <f>H72</f>
        <v>1.0069508973629722</v>
      </c>
      <c r="H76" s="560"/>
    </row>
    <row r="77" spans="1:8" ht="18.75" x14ac:dyDescent="0.3">
      <c r="A77" s="460" t="s">
        <v>109</v>
      </c>
      <c r="B77" s="460" t="s">
        <v>110</v>
      </c>
    </row>
    <row r="78" spans="1:8" ht="18.75" x14ac:dyDescent="0.3">
      <c r="A78" s="460"/>
      <c r="B78" s="460"/>
      <c r="H78" s="2" t="s">
        <v>125</v>
      </c>
    </row>
    <row r="79" spans="1:8" ht="26.25" customHeight="1" x14ac:dyDescent="0.4">
      <c r="A79" s="461" t="s">
        <v>4</v>
      </c>
      <c r="B79" s="677" t="str">
        <f>B26</f>
        <v>Tenofovir Disoproxil Fumerate</v>
      </c>
      <c r="C79" s="677"/>
    </row>
    <row r="80" spans="1:8" ht="26.25" customHeight="1" x14ac:dyDescent="0.4">
      <c r="A80" s="462" t="s">
        <v>48</v>
      </c>
      <c r="B80" s="677" t="str">
        <f>B27</f>
        <v>Wrs T11-1</v>
      </c>
      <c r="C80" s="677"/>
    </row>
    <row r="81" spans="1:12" ht="27" customHeight="1" x14ac:dyDescent="0.4">
      <c r="A81" s="462" t="s">
        <v>6</v>
      </c>
      <c r="B81" s="561">
        <f>B28</f>
        <v>99.3</v>
      </c>
    </row>
    <row r="82" spans="1:12" s="13" customFormat="1" ht="27" customHeight="1" x14ac:dyDescent="0.4">
      <c r="A82" s="462" t="s">
        <v>49</v>
      </c>
      <c r="B82" s="464">
        <v>0</v>
      </c>
      <c r="C82" s="656" t="s">
        <v>50</v>
      </c>
      <c r="D82" s="657"/>
      <c r="E82" s="657"/>
      <c r="F82" s="657"/>
      <c r="G82" s="658"/>
      <c r="I82" s="465"/>
      <c r="J82" s="465"/>
      <c r="K82" s="465"/>
      <c r="L82" s="465"/>
    </row>
    <row r="83" spans="1:12" s="13" customFormat="1" ht="19.5" customHeight="1" x14ac:dyDescent="0.3">
      <c r="A83" s="462" t="s">
        <v>51</v>
      </c>
      <c r="B83" s="466">
        <f>B81-B82</f>
        <v>99.3</v>
      </c>
      <c r="C83" s="467"/>
      <c r="D83" s="467"/>
      <c r="E83" s="467"/>
      <c r="F83" s="467"/>
      <c r="G83" s="468"/>
      <c r="I83" s="465"/>
      <c r="J83" s="465"/>
      <c r="K83" s="465"/>
      <c r="L83" s="465"/>
    </row>
    <row r="84" spans="1:12" s="13" customFormat="1" ht="27" customHeight="1" x14ac:dyDescent="0.4">
      <c r="A84" s="462" t="s">
        <v>52</v>
      </c>
      <c r="B84" s="469">
        <v>1</v>
      </c>
      <c r="C84" s="659" t="s">
        <v>111</v>
      </c>
      <c r="D84" s="660"/>
      <c r="E84" s="660"/>
      <c r="F84" s="660"/>
      <c r="G84" s="660"/>
      <c r="H84" s="661"/>
      <c r="I84" s="465"/>
      <c r="J84" s="465"/>
      <c r="K84" s="465"/>
      <c r="L84" s="465"/>
    </row>
    <row r="85" spans="1:12" s="13" customFormat="1" ht="27" customHeight="1" x14ac:dyDescent="0.4">
      <c r="A85" s="462" t="s">
        <v>54</v>
      </c>
      <c r="B85" s="469">
        <v>1</v>
      </c>
      <c r="C85" s="659" t="s">
        <v>112</v>
      </c>
      <c r="D85" s="660"/>
      <c r="E85" s="660"/>
      <c r="F85" s="660"/>
      <c r="G85" s="660"/>
      <c r="H85" s="661"/>
      <c r="I85" s="465"/>
      <c r="J85" s="465"/>
      <c r="K85" s="465"/>
      <c r="L85" s="465"/>
    </row>
    <row r="86" spans="1:12" s="13" customFormat="1" ht="18.75" x14ac:dyDescent="0.3">
      <c r="A86" s="462"/>
      <c r="B86" s="472"/>
      <c r="C86" s="473"/>
      <c r="D86" s="473"/>
      <c r="E86" s="473"/>
      <c r="F86" s="473"/>
      <c r="G86" s="473"/>
      <c r="H86" s="473"/>
      <c r="I86" s="465"/>
      <c r="J86" s="465"/>
      <c r="K86" s="465"/>
      <c r="L86" s="465"/>
    </row>
    <row r="87" spans="1:12" s="13" customFormat="1" ht="18.75" x14ac:dyDescent="0.3">
      <c r="A87" s="462" t="s">
        <v>56</v>
      </c>
      <c r="B87" s="474">
        <f>B84/B85</f>
        <v>1</v>
      </c>
      <c r="C87" s="452" t="s">
        <v>57</v>
      </c>
      <c r="D87" s="452"/>
      <c r="E87" s="452"/>
      <c r="F87" s="452"/>
      <c r="G87" s="452"/>
      <c r="I87" s="465"/>
      <c r="J87" s="465"/>
      <c r="K87" s="465"/>
      <c r="L87" s="465"/>
    </row>
    <row r="88" spans="1:12" ht="19.5" customHeight="1" x14ac:dyDescent="0.3">
      <c r="A88" s="460"/>
      <c r="B88" s="460"/>
    </row>
    <row r="89" spans="1:12" ht="27" customHeight="1" x14ac:dyDescent="0.4">
      <c r="A89" s="475" t="s">
        <v>58</v>
      </c>
      <c r="B89" s="476">
        <v>25</v>
      </c>
      <c r="D89" s="562" t="s">
        <v>59</v>
      </c>
      <c r="E89" s="563"/>
      <c r="F89" s="662" t="s">
        <v>60</v>
      </c>
      <c r="G89" s="663"/>
    </row>
    <row r="90" spans="1:12" ht="27" customHeight="1" x14ac:dyDescent="0.4">
      <c r="A90" s="477" t="s">
        <v>61</v>
      </c>
      <c r="B90" s="478">
        <v>10</v>
      </c>
      <c r="C90" s="564" t="s">
        <v>62</v>
      </c>
      <c r="D90" s="480" t="s">
        <v>63</v>
      </c>
      <c r="E90" s="481" t="s">
        <v>64</v>
      </c>
      <c r="F90" s="480" t="s">
        <v>63</v>
      </c>
      <c r="G90" s="565" t="s">
        <v>64</v>
      </c>
      <c r="I90" s="483" t="s">
        <v>65</v>
      </c>
    </row>
    <row r="91" spans="1:12" ht="26.25" customHeight="1" x14ac:dyDescent="0.4">
      <c r="A91" s="477" t="s">
        <v>66</v>
      </c>
      <c r="B91" s="478">
        <v>20</v>
      </c>
      <c r="C91" s="566">
        <v>1</v>
      </c>
      <c r="D91" s="485">
        <v>68417627</v>
      </c>
      <c r="E91" s="486">
        <f>IF(ISBLANK(D91),"-",$D$101/$D$98*D91)</f>
        <v>59705308.912823044</v>
      </c>
      <c r="F91" s="485">
        <v>76562476</v>
      </c>
      <c r="G91" s="487">
        <f>IF(ISBLANK(F91),"-",$D$101/$F$98*F91)</f>
        <v>59339808.62445534</v>
      </c>
      <c r="I91" s="488"/>
    </row>
    <row r="92" spans="1:12" ht="26.25" customHeight="1" x14ac:dyDescent="0.4">
      <c r="A92" s="477" t="s">
        <v>67</v>
      </c>
      <c r="B92" s="478">
        <v>1</v>
      </c>
      <c r="C92" s="550">
        <v>2</v>
      </c>
      <c r="D92" s="490">
        <v>68322492</v>
      </c>
      <c r="E92" s="491">
        <f>IF(ISBLANK(D92),"-",$D$101/$D$98*D92)</f>
        <v>59622288.428008191</v>
      </c>
      <c r="F92" s="490">
        <v>75895897</v>
      </c>
      <c r="G92" s="492">
        <f>IF(ISBLANK(F92),"-",$D$101/$F$98*F92)</f>
        <v>58823176.034189045</v>
      </c>
      <c r="I92" s="664">
        <f>ABS((F96/D96*D95)-F95)/D95</f>
        <v>1.032059523519978E-2</v>
      </c>
    </row>
    <row r="93" spans="1:12" ht="26.25" customHeight="1" x14ac:dyDescent="0.4">
      <c r="A93" s="477" t="s">
        <v>68</v>
      </c>
      <c r="B93" s="478">
        <v>1</v>
      </c>
      <c r="C93" s="550">
        <v>3</v>
      </c>
      <c r="D93" s="490">
        <v>68189723</v>
      </c>
      <c r="E93" s="491">
        <f>IF(ISBLANK(D93),"-",$D$101/$D$98*D93)</f>
        <v>59506426.266360193</v>
      </c>
      <c r="F93" s="490">
        <v>76165082</v>
      </c>
      <c r="G93" s="492">
        <f>IF(ISBLANK(F93),"-",$D$101/$F$98*F93)</f>
        <v>59031808.085019983</v>
      </c>
      <c r="I93" s="664"/>
    </row>
    <row r="94" spans="1:12" ht="27" customHeight="1" x14ac:dyDescent="0.4">
      <c r="A94" s="477" t="s">
        <v>69</v>
      </c>
      <c r="B94" s="478">
        <v>1</v>
      </c>
      <c r="C94" s="567">
        <v>4</v>
      </c>
      <c r="D94" s="495"/>
      <c r="E94" s="496" t="str">
        <f>IF(ISBLANK(D94),"-",$D$101/$D$98*D94)</f>
        <v>-</v>
      </c>
      <c r="F94" s="568"/>
      <c r="G94" s="497" t="str">
        <f>IF(ISBLANK(F94),"-",$D$101/$F$98*F94)</f>
        <v>-</v>
      </c>
      <c r="I94" s="498"/>
    </row>
    <row r="95" spans="1:12" ht="27" customHeight="1" x14ac:dyDescent="0.4">
      <c r="A95" s="477" t="s">
        <v>70</v>
      </c>
      <c r="B95" s="478">
        <v>1</v>
      </c>
      <c r="C95" s="569" t="s">
        <v>71</v>
      </c>
      <c r="D95" s="570">
        <f>AVERAGE(D91:D94)</f>
        <v>68309947.333333328</v>
      </c>
      <c r="E95" s="501">
        <f>AVERAGE(E91:E94)</f>
        <v>59611341.202397145</v>
      </c>
      <c r="F95" s="571">
        <f>AVERAGE(F91:F94)</f>
        <v>76207818.333333328</v>
      </c>
      <c r="G95" s="572">
        <f>AVERAGE(G91:G94)</f>
        <v>59064930.914554782</v>
      </c>
    </row>
    <row r="96" spans="1:12" ht="26.25" customHeight="1" x14ac:dyDescent="0.4">
      <c r="A96" s="477" t="s">
        <v>72</v>
      </c>
      <c r="B96" s="463">
        <v>1</v>
      </c>
      <c r="C96" s="573" t="s">
        <v>113</v>
      </c>
      <c r="D96" s="631">
        <v>17.309999999999999</v>
      </c>
      <c r="E96" s="493"/>
      <c r="F96" s="631">
        <v>19.489999999999998</v>
      </c>
    </row>
    <row r="97" spans="1:10" ht="26.25" customHeight="1" x14ac:dyDescent="0.4">
      <c r="A97" s="477" t="s">
        <v>74</v>
      </c>
      <c r="B97" s="463">
        <v>1</v>
      </c>
      <c r="C97" s="574" t="s">
        <v>114</v>
      </c>
      <c r="D97" s="575">
        <f>D96*$B$87</f>
        <v>17.309999999999999</v>
      </c>
      <c r="E97" s="508"/>
      <c r="F97" s="507">
        <f>F96*$B$87</f>
        <v>19.489999999999998</v>
      </c>
    </row>
    <row r="98" spans="1:10" ht="19.5" customHeight="1" x14ac:dyDescent="0.3">
      <c r="A98" s="477" t="s">
        <v>76</v>
      </c>
      <c r="B98" s="576">
        <f>(B97/B96)*(B95/B94)*(B93/B92)*(B91/B90)*B89</f>
        <v>50</v>
      </c>
      <c r="C98" s="574" t="s">
        <v>115</v>
      </c>
      <c r="D98" s="577">
        <f>D97*$B$83/100</f>
        <v>17.188829999999999</v>
      </c>
      <c r="E98" s="511"/>
      <c r="F98" s="510">
        <f>F97*$B$83/100</f>
        <v>19.353569999999998</v>
      </c>
    </row>
    <row r="99" spans="1:10" ht="19.5" customHeight="1" x14ac:dyDescent="0.3">
      <c r="A99" s="650" t="s">
        <v>78</v>
      </c>
      <c r="B99" s="665"/>
      <c r="C99" s="574" t="s">
        <v>116</v>
      </c>
      <c r="D99" s="578">
        <f>D98/$B$98</f>
        <v>0.34377659999999999</v>
      </c>
      <c r="E99" s="511"/>
      <c r="F99" s="514">
        <f>F98/$B$98</f>
        <v>0.38707139999999995</v>
      </c>
      <c r="G99" s="579"/>
      <c r="H99" s="503"/>
    </row>
    <row r="100" spans="1:10" ht="19.5" customHeight="1" x14ac:dyDescent="0.3">
      <c r="A100" s="652"/>
      <c r="B100" s="666"/>
      <c r="C100" s="574" t="s">
        <v>80</v>
      </c>
      <c r="D100" s="580">
        <v>0.3</v>
      </c>
      <c r="F100" s="519"/>
      <c r="G100" s="581"/>
      <c r="H100" s="503"/>
    </row>
    <row r="101" spans="1:10" ht="18.75" x14ac:dyDescent="0.3">
      <c r="C101" s="574" t="s">
        <v>81</v>
      </c>
      <c r="D101" s="575">
        <f>D100*$B$98</f>
        <v>15</v>
      </c>
      <c r="F101" s="519"/>
      <c r="G101" s="579"/>
      <c r="H101" s="503"/>
    </row>
    <row r="102" spans="1:10" ht="19.5" customHeight="1" x14ac:dyDescent="0.3">
      <c r="C102" s="582" t="s">
        <v>82</v>
      </c>
      <c r="D102" s="583">
        <f>D101/B34</f>
        <v>15</v>
      </c>
      <c r="F102" s="523"/>
      <c r="G102" s="579"/>
      <c r="H102" s="503"/>
      <c r="J102" s="584"/>
    </row>
    <row r="103" spans="1:10" ht="18.75" x14ac:dyDescent="0.3">
      <c r="C103" s="585" t="s">
        <v>117</v>
      </c>
      <c r="D103" s="586">
        <f>AVERAGE(E91:E94,G91:G94)</f>
        <v>59338136.058475971</v>
      </c>
      <c r="F103" s="523"/>
      <c r="G103" s="587"/>
      <c r="H103" s="503"/>
      <c r="J103" s="588"/>
    </row>
    <row r="104" spans="1:10" ht="18.75" x14ac:dyDescent="0.3">
      <c r="C104" s="553" t="s">
        <v>84</v>
      </c>
      <c r="D104" s="589">
        <f>STDEV(E91:E94,G91:G94)/D103</f>
        <v>5.8520092962720113E-3</v>
      </c>
      <c r="F104" s="523"/>
      <c r="G104" s="579"/>
      <c r="H104" s="503"/>
      <c r="J104" s="588"/>
    </row>
    <row r="105" spans="1:10" ht="19.5" customHeight="1" x14ac:dyDescent="0.3">
      <c r="C105" s="555" t="s">
        <v>20</v>
      </c>
      <c r="D105" s="590">
        <f>COUNT(E91:E94,G91:G94)</f>
        <v>6</v>
      </c>
      <c r="F105" s="523"/>
      <c r="G105" s="579"/>
      <c r="H105" s="503"/>
      <c r="J105" s="588"/>
    </row>
    <row r="106" spans="1:10" ht="19.5" customHeight="1" x14ac:dyDescent="0.3">
      <c r="A106" s="527"/>
      <c r="B106" s="527"/>
      <c r="C106" s="527"/>
      <c r="D106" s="527"/>
      <c r="E106" s="527"/>
    </row>
    <row r="107" spans="1:10" ht="26.25" customHeight="1" x14ac:dyDescent="0.4">
      <c r="A107" s="475" t="s">
        <v>118</v>
      </c>
      <c r="B107" s="476">
        <v>1000</v>
      </c>
      <c r="C107" s="591" t="s">
        <v>119</v>
      </c>
      <c r="D107" s="592" t="s">
        <v>63</v>
      </c>
      <c r="E107" s="593" t="s">
        <v>120</v>
      </c>
      <c r="F107" s="594" t="s">
        <v>121</v>
      </c>
    </row>
    <row r="108" spans="1:10" ht="26.25" customHeight="1" x14ac:dyDescent="0.4">
      <c r="A108" s="477" t="s">
        <v>122</v>
      </c>
      <c r="B108" s="478">
        <v>1</v>
      </c>
      <c r="C108" s="595">
        <v>1</v>
      </c>
      <c r="D108" s="596">
        <v>51977142</v>
      </c>
      <c r="E108" s="627">
        <f t="shared" ref="E108:E113" si="1">IF(ISBLANK(D108),"-",D108/$D$103*$D$100*$B$116)</f>
        <v>262.78450311673794</v>
      </c>
      <c r="F108" s="599">
        <f>IF(ISBLANK(D108), "-", E108/$B$56)</f>
        <v>0.87594834372245978</v>
      </c>
    </row>
    <row r="109" spans="1:10" ht="26.25" customHeight="1" x14ac:dyDescent="0.4">
      <c r="A109" s="477" t="s">
        <v>95</v>
      </c>
      <c r="B109" s="478">
        <v>1</v>
      </c>
      <c r="C109" s="595">
        <v>2</v>
      </c>
      <c r="D109" s="596">
        <v>51515903</v>
      </c>
      <c r="E109" s="627">
        <f t="shared" si="1"/>
        <v>260.45258457006105</v>
      </c>
      <c r="F109" s="599">
        <f t="shared" ref="F108:F112" si="2">IF(ISBLANK(D109), "-", E109/$B$56)</f>
        <v>0.86817528190020354</v>
      </c>
    </row>
    <row r="110" spans="1:10" ht="26.25" customHeight="1" x14ac:dyDescent="0.4">
      <c r="A110" s="477" t="s">
        <v>96</v>
      </c>
      <c r="B110" s="478">
        <v>1</v>
      </c>
      <c r="C110" s="595">
        <v>3</v>
      </c>
      <c r="D110" s="596">
        <v>56859981</v>
      </c>
      <c r="E110" s="627">
        <f t="shared" si="1"/>
        <v>287.47101666944599</v>
      </c>
      <c r="F110" s="599">
        <f t="shared" si="2"/>
        <v>0.95823672223148659</v>
      </c>
    </row>
    <row r="111" spans="1:10" ht="26.25" customHeight="1" x14ac:dyDescent="0.4">
      <c r="A111" s="477" t="s">
        <v>97</v>
      </c>
      <c r="B111" s="478">
        <v>1</v>
      </c>
      <c r="C111" s="595">
        <v>4</v>
      </c>
      <c r="D111" s="596">
        <v>51595963</v>
      </c>
      <c r="E111" s="627">
        <f t="shared" si="1"/>
        <v>260.85734955924653</v>
      </c>
      <c r="F111" s="599">
        <f t="shared" si="2"/>
        <v>0.86952449853082181</v>
      </c>
    </row>
    <row r="112" spans="1:10" ht="26.25" customHeight="1" x14ac:dyDescent="0.4">
      <c r="A112" s="477" t="s">
        <v>98</v>
      </c>
      <c r="B112" s="478">
        <v>1</v>
      </c>
      <c r="C112" s="595">
        <v>5</v>
      </c>
      <c r="D112" s="596">
        <v>53716839</v>
      </c>
      <c r="E112" s="627">
        <f t="shared" si="1"/>
        <v>271.5800119525004</v>
      </c>
      <c r="F112" s="599">
        <f t="shared" si="2"/>
        <v>0.90526670650833463</v>
      </c>
    </row>
    <row r="113" spans="1:10" ht="26.25" customHeight="1" x14ac:dyDescent="0.4">
      <c r="A113" s="477" t="s">
        <v>100</v>
      </c>
      <c r="B113" s="478">
        <v>1</v>
      </c>
      <c r="C113" s="597">
        <v>6</v>
      </c>
      <c r="D113" s="598">
        <v>57099848</v>
      </c>
      <c r="E113" s="627">
        <f t="shared" si="1"/>
        <v>288.68372918082457</v>
      </c>
      <c r="F113" s="599">
        <f>IF(ISBLANK(D113), "-", E113/$B$56)</f>
        <v>0.96227909726941518</v>
      </c>
    </row>
    <row r="114" spans="1:10" ht="26.25" customHeight="1" x14ac:dyDescent="0.4">
      <c r="A114" s="477" t="s">
        <v>101</v>
      </c>
      <c r="B114" s="478">
        <v>1</v>
      </c>
      <c r="C114" s="595"/>
      <c r="D114" s="550"/>
      <c r="E114" s="451"/>
      <c r="F114" s="600"/>
    </row>
    <row r="115" spans="1:10" ht="26.25" customHeight="1" x14ac:dyDescent="0.4">
      <c r="A115" s="477" t="s">
        <v>102</v>
      </c>
      <c r="B115" s="478">
        <v>1</v>
      </c>
      <c r="C115" s="595"/>
      <c r="D115" s="601"/>
      <c r="E115" s="602" t="s">
        <v>71</v>
      </c>
      <c r="F115" s="603">
        <f>AVERAGE(F108:F113)</f>
        <v>0.90657177502712027</v>
      </c>
    </row>
    <row r="116" spans="1:10" ht="27" customHeight="1" x14ac:dyDescent="0.4">
      <c r="A116" s="477" t="s">
        <v>103</v>
      </c>
      <c r="B116" s="509">
        <f>(B115/B114)*(B113/B112)*(B111/B110)*(B109/B108)*B107</f>
        <v>1000</v>
      </c>
      <c r="C116" s="604"/>
      <c r="D116" s="605"/>
      <c r="E116" s="569" t="s">
        <v>84</v>
      </c>
      <c r="F116" s="633">
        <f>STDEV(F108:F113)/F115</f>
        <v>4.8229847872169614E-2</v>
      </c>
      <c r="I116" s="451"/>
    </row>
    <row r="117" spans="1:10" ht="27" customHeight="1" x14ac:dyDescent="0.4">
      <c r="A117" s="650" t="s">
        <v>78</v>
      </c>
      <c r="B117" s="651"/>
      <c r="C117" s="606"/>
      <c r="D117" s="607"/>
      <c r="E117" s="608" t="s">
        <v>20</v>
      </c>
      <c r="F117" s="635">
        <f>COUNT(F108:F113)</f>
        <v>6</v>
      </c>
      <c r="I117" s="451"/>
      <c r="J117" s="588"/>
    </row>
    <row r="118" spans="1:10" ht="19.5" customHeight="1" x14ac:dyDescent="0.3">
      <c r="A118" s="652"/>
      <c r="B118" s="653"/>
      <c r="C118" s="451"/>
      <c r="D118" s="451"/>
      <c r="E118" s="451"/>
      <c r="F118" s="550"/>
      <c r="G118" s="451"/>
      <c r="H118" s="451"/>
      <c r="I118" s="451"/>
    </row>
    <row r="119" spans="1:10" ht="18.75" x14ac:dyDescent="0.3">
      <c r="A119" s="617"/>
      <c r="B119" s="473"/>
      <c r="C119" s="451"/>
      <c r="D119" s="451"/>
      <c r="E119" s="451"/>
      <c r="F119" s="550"/>
      <c r="G119" s="451"/>
      <c r="H119" s="451"/>
      <c r="I119" s="451"/>
    </row>
    <row r="120" spans="1:10" ht="26.25" customHeight="1" x14ac:dyDescent="0.4">
      <c r="A120" s="461" t="s">
        <v>106</v>
      </c>
      <c r="B120" s="557" t="s">
        <v>123</v>
      </c>
      <c r="C120" s="654" t="str">
        <f>B20</f>
        <v>Efavirenz 600mg, Lamivudine 300mg and Tenofovir Disoproxil Fumarate 300mg Tablets</v>
      </c>
      <c r="D120" s="654"/>
      <c r="E120" s="558" t="s">
        <v>124</v>
      </c>
      <c r="F120" s="558"/>
      <c r="G120" s="559">
        <f>F115</f>
        <v>0.90657177502712027</v>
      </c>
      <c r="H120" s="451"/>
      <c r="I120" s="451"/>
    </row>
    <row r="121" spans="1:10" ht="19.5" customHeight="1" x14ac:dyDescent="0.3">
      <c r="A121" s="609"/>
      <c r="B121" s="609"/>
      <c r="C121" s="610"/>
      <c r="D121" s="610"/>
      <c r="E121" s="610"/>
      <c r="F121" s="610"/>
      <c r="G121" s="610"/>
      <c r="H121" s="610"/>
    </row>
    <row r="122" spans="1:10" ht="18.75" x14ac:dyDescent="0.3">
      <c r="B122" s="655" t="s">
        <v>26</v>
      </c>
      <c r="C122" s="655"/>
      <c r="E122" s="564" t="s">
        <v>27</v>
      </c>
      <c r="F122" s="611"/>
      <c r="G122" s="655" t="s">
        <v>28</v>
      </c>
      <c r="H122" s="655"/>
    </row>
    <row r="123" spans="1:10" ht="69.95" customHeight="1" x14ac:dyDescent="0.3">
      <c r="A123" s="612" t="s">
        <v>29</v>
      </c>
      <c r="B123" s="613"/>
      <c r="C123" s="613"/>
      <c r="E123" s="613"/>
      <c r="F123" s="451"/>
      <c r="G123" s="614"/>
      <c r="H123" s="614"/>
    </row>
    <row r="124" spans="1:10" ht="69.95" customHeight="1" x14ac:dyDescent="0.3">
      <c r="A124" s="612" t="s">
        <v>30</v>
      </c>
      <c r="B124" s="615"/>
      <c r="C124" s="615"/>
      <c r="E124" s="615"/>
      <c r="F124" s="451"/>
      <c r="G124" s="616"/>
      <c r="H124" s="616"/>
    </row>
    <row r="125" spans="1:10" ht="18.75" x14ac:dyDescent="0.3">
      <c r="A125" s="549"/>
      <c r="B125" s="549"/>
      <c r="C125" s="550"/>
      <c r="D125" s="550"/>
      <c r="E125" s="550"/>
      <c r="F125" s="554"/>
      <c r="G125" s="550"/>
      <c r="H125" s="550"/>
      <c r="I125" s="451"/>
    </row>
    <row r="126" spans="1:10" ht="18.75" x14ac:dyDescent="0.3">
      <c r="A126" s="549"/>
      <c r="B126" s="549"/>
      <c r="C126" s="550"/>
      <c r="D126" s="550"/>
      <c r="E126" s="550"/>
      <c r="F126" s="554"/>
      <c r="G126" s="550"/>
      <c r="H126" s="550"/>
      <c r="I126" s="451"/>
    </row>
    <row r="127" spans="1:10" ht="18.75" x14ac:dyDescent="0.3">
      <c r="A127" s="549"/>
      <c r="B127" s="549"/>
      <c r="C127" s="550"/>
      <c r="D127" s="550"/>
      <c r="E127" s="550"/>
      <c r="F127" s="554"/>
      <c r="G127" s="550"/>
      <c r="H127" s="550"/>
      <c r="I127" s="451"/>
    </row>
    <row r="128" spans="1:10" ht="18.75" x14ac:dyDescent="0.3">
      <c r="A128" s="549"/>
      <c r="B128" s="549"/>
      <c r="C128" s="550"/>
      <c r="D128" s="550"/>
      <c r="E128" s="550"/>
      <c r="F128" s="554"/>
      <c r="G128" s="550"/>
      <c r="H128" s="550"/>
      <c r="I128" s="451"/>
    </row>
    <row r="129" spans="1:9" ht="18.75" x14ac:dyDescent="0.3">
      <c r="A129" s="549"/>
      <c r="B129" s="549"/>
      <c r="C129" s="550"/>
      <c r="D129" s="550"/>
      <c r="E129" s="550"/>
      <c r="F129" s="554"/>
      <c r="G129" s="550"/>
      <c r="H129" s="550"/>
      <c r="I129" s="451"/>
    </row>
    <row r="130" spans="1:9" ht="18.75" x14ac:dyDescent="0.3">
      <c r="A130" s="549"/>
      <c r="B130" s="549"/>
      <c r="C130" s="550"/>
      <c r="D130" s="550"/>
      <c r="E130" s="550"/>
      <c r="F130" s="554"/>
      <c r="G130" s="550"/>
      <c r="H130" s="550"/>
      <c r="I130" s="451"/>
    </row>
    <row r="131" spans="1:9" ht="18.75" x14ac:dyDescent="0.3">
      <c r="A131" s="549"/>
      <c r="B131" s="549"/>
      <c r="C131" s="550"/>
      <c r="D131" s="550"/>
      <c r="E131" s="550"/>
      <c r="F131" s="554"/>
      <c r="G131" s="550"/>
      <c r="H131" s="550"/>
      <c r="I131" s="451"/>
    </row>
    <row r="132" spans="1:9" ht="18.75" x14ac:dyDescent="0.3">
      <c r="A132" s="549"/>
      <c r="B132" s="549"/>
      <c r="C132" s="550"/>
      <c r="D132" s="550"/>
      <c r="E132" s="550"/>
      <c r="F132" s="554"/>
      <c r="G132" s="550"/>
      <c r="H132" s="550"/>
      <c r="I132" s="451"/>
    </row>
    <row r="133" spans="1:9" ht="18.75" x14ac:dyDescent="0.3">
      <c r="A133" s="549"/>
      <c r="B133" s="549"/>
      <c r="C133" s="550"/>
      <c r="D133" s="550"/>
      <c r="E133" s="550"/>
      <c r="F133" s="554"/>
      <c r="G133" s="550"/>
      <c r="H133" s="550"/>
      <c r="I133" s="45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9:M35"/>
  <sheetViews>
    <sheetView workbookViewId="0">
      <selection activeCell="E30" sqref="E30"/>
    </sheetView>
  </sheetViews>
  <sheetFormatPr defaultRowHeight="12.75" x14ac:dyDescent="0.2"/>
  <sheetData>
    <row r="19" spans="9:13" x14ac:dyDescent="0.2">
      <c r="L19">
        <f>240/20</f>
        <v>12</v>
      </c>
      <c r="M19">
        <v>20</v>
      </c>
    </row>
    <row r="20" spans="9:13" x14ac:dyDescent="0.2">
      <c r="L20">
        <v>350</v>
      </c>
      <c r="M20" s="637" t="s">
        <v>129</v>
      </c>
    </row>
    <row r="30" spans="9:13" x14ac:dyDescent="0.2">
      <c r="I30">
        <f>475</f>
        <v>475</v>
      </c>
      <c r="J30">
        <v>500</v>
      </c>
    </row>
    <row r="31" spans="9:13" x14ac:dyDescent="0.2">
      <c r="I31">
        <f>575/60</f>
        <v>9.5833333333333339</v>
      </c>
      <c r="J31">
        <v>850</v>
      </c>
    </row>
    <row r="34" spans="9:10" x14ac:dyDescent="0.2">
      <c r="J34">
        <f>30/100</f>
        <v>0.3</v>
      </c>
    </row>
    <row r="35" spans="9:10" x14ac:dyDescent="0.2">
      <c r="I35">
        <f>10/25</f>
        <v>0.4</v>
      </c>
      <c r="J35">
        <f>I35*10/20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Uniformity</vt:lpstr>
      <vt:lpstr>SST(EFV)</vt:lpstr>
      <vt:lpstr>SST(TEN)</vt:lpstr>
      <vt:lpstr>SST(LAM)</vt:lpstr>
      <vt:lpstr>Efavirenz</vt:lpstr>
      <vt:lpstr>Lamivudine</vt:lpstr>
      <vt:lpstr>Tenofovir Didoproxil Fumerate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2015-08-21T13:59:47Z</cp:lastPrinted>
  <dcterms:created xsi:type="dcterms:W3CDTF">2005-07-05T10:19:27Z</dcterms:created>
  <dcterms:modified xsi:type="dcterms:W3CDTF">2015-08-21T14:00:14Z</dcterms:modified>
</cp:coreProperties>
</file>