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ETORICOXIB" sheetId="3" r:id="rId3"/>
  </sheets>
  <definedNames>
    <definedName name="_xlnm.Print_Area" localSheetId="2">ETORICOXIB!$A$1:$J$129</definedName>
    <definedName name="_xlnm.Print_Area" localSheetId="1">Uniformity!$A$1:$G$58</definedName>
  </definedNames>
  <calcPr calcId="145621"/>
</workbook>
</file>

<file path=xl/calcChain.xml><?xml version="1.0" encoding="utf-8"?>
<calcChain xmlns="http://schemas.openxmlformats.org/spreadsheetml/2006/main">
  <c r="C19" i="2" l="1"/>
  <c r="C18" i="2"/>
  <c r="B21" i="1"/>
  <c r="B20" i="1"/>
  <c r="B19" i="1"/>
  <c r="B18" i="1"/>
  <c r="B17" i="1"/>
  <c r="F42" i="3"/>
  <c r="I39" i="3" s="1"/>
  <c r="D42" i="3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B34" i="3"/>
  <c r="F44" i="3" s="1"/>
  <c r="B30" i="3"/>
  <c r="D50" i="2"/>
  <c r="D49" i="2"/>
  <c r="B49" i="2"/>
  <c r="C46" i="2"/>
  <c r="B57" i="3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B69" i="3"/>
  <c r="D102" i="3"/>
  <c r="F45" i="3"/>
  <c r="F98" i="3"/>
  <c r="D49" i="3"/>
  <c r="C50" i="2"/>
  <c r="D44" i="3"/>
  <c r="D45" i="3" s="1"/>
  <c r="D97" i="3"/>
  <c r="D98" i="3" s="1"/>
  <c r="D31" i="2"/>
  <c r="D35" i="2"/>
  <c r="D39" i="2"/>
  <c r="D43" i="2"/>
  <c r="C49" i="2"/>
  <c r="G93" i="3" l="1"/>
  <c r="D46" i="3"/>
  <c r="E40" i="3"/>
  <c r="E38" i="3"/>
  <c r="E42" i="3" s="1"/>
  <c r="E41" i="3"/>
  <c r="E39" i="3"/>
  <c r="F46" i="3"/>
  <c r="G41" i="3"/>
  <c r="G39" i="3"/>
  <c r="G40" i="3"/>
  <c r="G38" i="3"/>
  <c r="G91" i="3"/>
  <c r="F99" i="3"/>
  <c r="G92" i="3"/>
  <c r="G94" i="3"/>
  <c r="E94" i="3"/>
  <c r="D99" i="3"/>
  <c r="E92" i="3"/>
  <c r="E93" i="3"/>
  <c r="E91" i="3"/>
  <c r="G95" i="3" l="1"/>
  <c r="G42" i="3"/>
  <c r="D50" i="3"/>
  <c r="D52" i="3"/>
  <c r="D103" i="3"/>
  <c r="E95" i="3"/>
  <c r="D105" i="3"/>
  <c r="E112" i="3" l="1"/>
  <c r="F112" i="3" s="1"/>
  <c r="E110" i="3"/>
  <c r="F110" i="3" s="1"/>
  <c r="E108" i="3"/>
  <c r="F108" i="3" s="1"/>
  <c r="E113" i="3"/>
  <c r="F113" i="3" s="1"/>
  <c r="E111" i="3"/>
  <c r="F111" i="3" s="1"/>
  <c r="E109" i="3"/>
  <c r="F109" i="3" s="1"/>
  <c r="D104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H60" i="3" s="1"/>
  <c r="F115" i="3" l="1"/>
  <c r="F117" i="3"/>
  <c r="H72" i="3"/>
  <c r="H74" i="3"/>
  <c r="H73" i="3" l="1"/>
  <c r="G76" i="3"/>
  <c r="G120" i="3"/>
  <c r="F116" i="3"/>
</calcChain>
</file>

<file path=xl/sharedStrings.xml><?xml version="1.0" encoding="utf-8"?>
<sst xmlns="http://schemas.openxmlformats.org/spreadsheetml/2006/main" count="236" uniqueCount="130">
  <si>
    <t>HPLC System Suitability Report</t>
  </si>
  <si>
    <t>Analysis Data</t>
  </si>
  <si>
    <t>Assay</t>
  </si>
  <si>
    <t>Sample(s)</t>
  </si>
  <si>
    <t>Reference Substance:</t>
  </si>
  <si>
    <t>TROY 90 TABLETS</t>
  </si>
  <si>
    <t>% age Purity:</t>
  </si>
  <si>
    <t>NDQD201507011</t>
  </si>
  <si>
    <t>Weight (mg):</t>
  </si>
  <si>
    <t>Etoricoxib</t>
  </si>
  <si>
    <t>Standard Conc (mg/mL):</t>
  </si>
  <si>
    <t>Each film coated tablet contains Etoricoxib INN 90mg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</si>
  <si>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</si>
  <si>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</si>
  <si>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</si>
  <si>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</si>
  <si>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</si>
  <si>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</si>
  <si>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</si>
  <si>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</si>
  <si>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</si>
  <si>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</si>
  <si>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</si>
  <si>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</si>
  <si>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</si>
  <si>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</si>
  <si>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</si>
  <si>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</si>
  <si>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</si>
  <si>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</si>
  <si>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</si>
  <si>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</si>
  <si>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</si>
  <si>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</si>
  <si>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</si>
  <si>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</si>
  <si>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</si>
  <si>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</si>
  <si>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</si>
  <si>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</si>
  <si>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</si>
  <si>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</si>
  <si>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</si>
  <si>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</si>
  <si>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</si>
  <si>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</si>
  <si>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</si>
  <si>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</si>
  <si>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</si>
  <si>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</si>
  <si>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</si>
  <si>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</si>
  <si>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</si>
  <si>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</si>
  <si>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</si>
  <si>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</si>
  <si>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</si>
  <si>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</si>
  <si>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</si>
  <si>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</si>
  <si>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</si>
  <si>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</si>
  <si>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</si>
  <si>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</si>
  <si>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</si>
  <si>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</si>
  <si>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</si>
  <si>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</si>
  <si>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</si>
  <si>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</si>
  <si>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</si>
  <si>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</si>
  <si>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</si>
  <si>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</si>
  <si>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</si>
  <si>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</si>
  <si>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</si>
  <si>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</si>
  <si>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</si>
  <si>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</si>
  <si>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</si>
  <si>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</si>
  <si>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</si>
  <si>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</si>
  <si>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</si>
  <si>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</si>
  <si>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</si>
  <si>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</si>
  <si>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</si>
  <si>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</si>
  <si>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</si>
  <si>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</si>
  <si>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</si>
  <si>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</si>
  <si>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</si>
  <si>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</si>
  <si>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</si>
  <si>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</si>
  <si>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</si>
  <si>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</si>
  <si>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</si>
  <si>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</si>
  <si>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</si>
  <si>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</si>
  <si>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</si>
  <si>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</si>
  <si>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</si>
  <si>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</si>
  <si>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</si>
  <si>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</si>
  <si>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</si>
  <si>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</si>
  <si>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</si>
  <si>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</si>
  <si>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</si>
  <si>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</si>
  <si>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</si>
  <si>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</si>
  <si>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</si>
  <si>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</si>
  <si>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</si>
  <si>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</si>
  <si>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</si>
  <si>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</si>
  <si>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6th Oct 2015</t>
  </si>
  <si>
    <t>25th Sept 2015</t>
  </si>
  <si>
    <t>NQCL/WRS/E2-1</t>
  </si>
  <si>
    <t xml:space="preserve">JOYFRIDA </t>
  </si>
  <si>
    <t>6TH OCT 2015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</si>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</sst>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G60" sqref="G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ETORICOXIB!B18</f>
        <v>TROY 90 TABLETS</v>
      </c>
      <c r="D17" s="9"/>
      <c r="E17" s="10"/>
    </row>
    <row r="18" spans="1:6" ht="16.5" customHeight="1" x14ac:dyDescent="0.3">
      <c r="A18" s="11" t="s">
        <v>4</v>
      </c>
      <c r="B18" s="8" t="str">
        <f>ETORICOXIB!B19</f>
        <v>NDQD201507011</v>
      </c>
      <c r="C18" s="10"/>
      <c r="D18" s="10"/>
      <c r="E18" s="10"/>
    </row>
    <row r="19" spans="1:6" ht="16.5" customHeight="1" x14ac:dyDescent="0.3">
      <c r="A19" s="11" t="s">
        <v>6</v>
      </c>
      <c r="B19" s="12">
        <f>ETORICOXIB!B28</f>
        <v>99.36</v>
      </c>
      <c r="C19" s="10"/>
      <c r="D19" s="10"/>
      <c r="E19" s="10"/>
    </row>
    <row r="20" spans="1:6" ht="16.5" customHeight="1" x14ac:dyDescent="0.3">
      <c r="A20" s="7" t="s">
        <v>8</v>
      </c>
      <c r="B20" s="12">
        <f>ETORICOXIB!D43</f>
        <v>21.81</v>
      </c>
      <c r="C20" s="10"/>
      <c r="D20" s="10"/>
      <c r="E20" s="10"/>
    </row>
    <row r="21" spans="1:6" ht="16.5" customHeight="1" x14ac:dyDescent="0.3">
      <c r="A21" s="7" t="s">
        <v>10</v>
      </c>
      <c r="B21" s="13">
        <f>ETORICOXIB!D46</f>
        <v>0.21670416000000001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67402127</v>
      </c>
      <c r="C24" s="18">
        <v>8486.07</v>
      </c>
      <c r="D24" s="19">
        <v>1.01</v>
      </c>
      <c r="E24" s="20">
        <v>6.87</v>
      </c>
    </row>
    <row r="25" spans="1:6" ht="16.5" customHeight="1" x14ac:dyDescent="0.3">
      <c r="A25" s="17">
        <v>2</v>
      </c>
      <c r="B25" s="18">
        <v>67679674</v>
      </c>
      <c r="C25" s="18">
        <v>8528.58</v>
      </c>
      <c r="D25" s="19">
        <v>1.01</v>
      </c>
      <c r="E25" s="19">
        <v>6.86</v>
      </c>
    </row>
    <row r="26" spans="1:6" ht="16.5" customHeight="1" x14ac:dyDescent="0.3">
      <c r="A26" s="17">
        <v>3</v>
      </c>
      <c r="B26" s="18">
        <v>68226719</v>
      </c>
      <c r="C26" s="18">
        <v>8580.39</v>
      </c>
      <c r="D26" s="19">
        <v>1.01</v>
      </c>
      <c r="E26" s="19">
        <v>6.87</v>
      </c>
    </row>
    <row r="27" spans="1:6" ht="16.5" customHeight="1" x14ac:dyDescent="0.3">
      <c r="A27" s="17">
        <v>4</v>
      </c>
      <c r="B27" s="18">
        <v>67939587</v>
      </c>
      <c r="C27" s="18">
        <v>5878.03</v>
      </c>
      <c r="D27" s="19">
        <v>1.01</v>
      </c>
      <c r="E27" s="19">
        <v>6.86</v>
      </c>
    </row>
    <row r="28" spans="1:6" ht="16.5" customHeight="1" x14ac:dyDescent="0.3">
      <c r="A28" s="17">
        <v>5</v>
      </c>
      <c r="B28" s="18">
        <v>67727908</v>
      </c>
      <c r="C28" s="18">
        <v>8571.3700000000008</v>
      </c>
      <c r="D28" s="19">
        <v>1.01</v>
      </c>
      <c r="E28" s="19">
        <v>6.87</v>
      </c>
    </row>
    <row r="29" spans="1:6" ht="16.5" customHeight="1" x14ac:dyDescent="0.3">
      <c r="A29" s="17">
        <v>6</v>
      </c>
      <c r="B29" s="21">
        <v>68220734</v>
      </c>
      <c r="C29" s="21">
        <v>8441.7199999999993</v>
      </c>
      <c r="D29" s="22">
        <v>1.01</v>
      </c>
      <c r="E29" s="22">
        <v>6.87</v>
      </c>
    </row>
    <row r="30" spans="1:6" ht="16.5" customHeight="1" x14ac:dyDescent="0.3">
      <c r="A30" s="23" t="s">
        <v>17</v>
      </c>
      <c r="B30" s="24">
        <f>AVERAGE(B24:B29)</f>
        <v>67866124.833333328</v>
      </c>
      <c r="C30" s="25">
        <f>AVERAGE(C24:C29)</f>
        <v>8081.0266666666676</v>
      </c>
      <c r="D30" s="26">
        <f>AVERAGE(D24:D29)</f>
        <v>1.01</v>
      </c>
      <c r="E30" s="26">
        <f>AVERAGE(E24:E29)</f>
        <v>6.8666666666666663</v>
      </c>
    </row>
    <row r="31" spans="1:6" ht="16.5" customHeight="1" x14ac:dyDescent="0.3">
      <c r="A31" s="27" t="s">
        <v>18</v>
      </c>
      <c r="B31" s="28">
        <f>(STDEV(B24:B29)/B30)</f>
        <v>4.7988459022570949E-3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25</v>
      </c>
      <c r="C59" s="281"/>
      <c r="E59" s="45" t="s">
        <v>26</v>
      </c>
      <c r="F59" s="46"/>
      <c r="G59" s="45" t="s">
        <v>27</v>
      </c>
    </row>
    <row r="60" spans="1:7" ht="25.5" customHeight="1" x14ac:dyDescent="0.3">
      <c r="A60" s="47" t="s">
        <v>28</v>
      </c>
      <c r="B60" s="48"/>
      <c r="C60" s="48" t="s">
        <v>129</v>
      </c>
      <c r="E60" s="48" t="s">
        <v>124</v>
      </c>
      <c r="F60" s="2"/>
      <c r="G60" s="49"/>
    </row>
    <row r="61" spans="1:7" ht="29.2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F53" sqref="F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9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30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31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32</v>
      </c>
      <c r="B14" s="289"/>
      <c r="C14" s="60" t="s">
        <v>5</v>
      </c>
    </row>
    <row r="15" spans="1:7" ht="16.5" customHeight="1" x14ac:dyDescent="0.3">
      <c r="A15" s="289" t="s">
        <v>33</v>
      </c>
      <c r="B15" s="289"/>
      <c r="C15" s="60" t="s">
        <v>7</v>
      </c>
    </row>
    <row r="16" spans="1:7" ht="16.5" customHeight="1" x14ac:dyDescent="0.3">
      <c r="A16" s="289" t="s">
        <v>34</v>
      </c>
      <c r="B16" s="289"/>
      <c r="C16" s="60" t="s">
        <v>9</v>
      </c>
    </row>
    <row r="17" spans="1:5" ht="16.5" customHeight="1" x14ac:dyDescent="0.3">
      <c r="A17" s="289" t="s">
        <v>35</v>
      </c>
      <c r="B17" s="289"/>
      <c r="C17" s="60" t="s">
        <v>11</v>
      </c>
    </row>
    <row r="18" spans="1:5" ht="16.5" customHeight="1" x14ac:dyDescent="0.3">
      <c r="A18" s="289" t="s">
        <v>36</v>
      </c>
      <c r="B18" s="289"/>
      <c r="C18" s="95" t="str">
        <f>ETORICOXIB!B22</f>
        <v>25th Sept 2015</v>
      </c>
    </row>
    <row r="19" spans="1:5" ht="16.5" customHeight="1" x14ac:dyDescent="0.3">
      <c r="A19" s="289" t="s">
        <v>37</v>
      </c>
      <c r="B19" s="289"/>
      <c r="C19" s="95" t="str">
        <f>ETORICOXIB!B23</f>
        <v>6th Oct 2015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38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329">
        <v>363.55</v>
      </c>
      <c r="D24" s="87">
        <f t="shared" ref="D24:D43" si="0">(C24-$C$46)/$C$46</f>
        <v>7.8398323362588763E-3</v>
      </c>
      <c r="E24" s="53"/>
    </row>
    <row r="25" spans="1:5" ht="15.75" customHeight="1" x14ac:dyDescent="0.3">
      <c r="C25" s="329">
        <v>363.97</v>
      </c>
      <c r="D25" s="88">
        <f t="shared" si="0"/>
        <v>9.0041638713468826E-3</v>
      </c>
      <c r="E25" s="53"/>
    </row>
    <row r="26" spans="1:5" ht="15.75" customHeight="1" x14ac:dyDescent="0.3">
      <c r="C26" s="329">
        <v>365.4</v>
      </c>
      <c r="D26" s="88">
        <f t="shared" si="0"/>
        <v>1.2968435526527187E-2</v>
      </c>
      <c r="E26" s="53"/>
    </row>
    <row r="27" spans="1:5" ht="15.75" customHeight="1" x14ac:dyDescent="0.3">
      <c r="C27" s="329">
        <v>359.87</v>
      </c>
      <c r="D27" s="88">
        <f t="shared" si="0"/>
        <v>-2.3619296854642418E-3</v>
      </c>
      <c r="E27" s="53"/>
    </row>
    <row r="28" spans="1:5" ht="15.75" customHeight="1" x14ac:dyDescent="0.3">
      <c r="C28" s="329">
        <v>362.69</v>
      </c>
      <c r="D28" s="88">
        <f t="shared" si="0"/>
        <v>5.4557249072692011E-3</v>
      </c>
      <c r="E28" s="53"/>
    </row>
    <row r="29" spans="1:5" ht="15.75" customHeight="1" x14ac:dyDescent="0.3">
      <c r="C29" s="329">
        <v>356.98</v>
      </c>
      <c r="D29" s="88">
        <f t="shared" si="0"/>
        <v>-1.0373639534045659E-2</v>
      </c>
      <c r="E29" s="53"/>
    </row>
    <row r="30" spans="1:5" ht="15.75" customHeight="1" x14ac:dyDescent="0.3">
      <c r="C30" s="329">
        <v>360.9</v>
      </c>
      <c r="D30" s="88">
        <f t="shared" si="0"/>
        <v>4.9345479344187605E-4</v>
      </c>
      <c r="E30" s="53"/>
    </row>
    <row r="31" spans="1:5" ht="15.75" customHeight="1" x14ac:dyDescent="0.3">
      <c r="C31" s="329">
        <v>355.92</v>
      </c>
      <c r="D31" s="88">
        <f t="shared" si="0"/>
        <v>-1.3312190551172427E-2</v>
      </c>
      <c r="E31" s="53"/>
    </row>
    <row r="32" spans="1:5" ht="15.75" customHeight="1" x14ac:dyDescent="0.3">
      <c r="C32" s="329">
        <v>357.98</v>
      </c>
      <c r="D32" s="88">
        <f t="shared" si="0"/>
        <v>-7.6014215933600344E-3</v>
      </c>
      <c r="E32" s="53"/>
    </row>
    <row r="33" spans="1:7" ht="15.75" customHeight="1" x14ac:dyDescent="0.3">
      <c r="C33" s="329">
        <v>359.77</v>
      </c>
      <c r="D33" s="88">
        <f t="shared" si="0"/>
        <v>-2.6391514795328671E-3</v>
      </c>
      <c r="E33" s="53"/>
    </row>
    <row r="34" spans="1:7" ht="15.75" customHeight="1" x14ac:dyDescent="0.3">
      <c r="C34" s="329">
        <v>364.54</v>
      </c>
      <c r="D34" s="88">
        <f t="shared" si="0"/>
        <v>1.0584328097537669E-2</v>
      </c>
      <c r="E34" s="53"/>
    </row>
    <row r="35" spans="1:7" ht="15.75" customHeight="1" x14ac:dyDescent="0.3">
      <c r="C35" s="329">
        <v>359.28</v>
      </c>
      <c r="D35" s="88">
        <f t="shared" si="0"/>
        <v>-3.9975382704688488E-3</v>
      </c>
      <c r="E35" s="53"/>
    </row>
    <row r="36" spans="1:7" ht="15.75" customHeight="1" x14ac:dyDescent="0.3">
      <c r="C36" s="329">
        <v>361.22</v>
      </c>
      <c r="D36" s="88">
        <f t="shared" si="0"/>
        <v>1.3805645344614145E-3</v>
      </c>
      <c r="E36" s="53"/>
    </row>
    <row r="37" spans="1:7" ht="15.75" customHeight="1" x14ac:dyDescent="0.3">
      <c r="C37" s="329">
        <v>359.37</v>
      </c>
      <c r="D37" s="88">
        <f t="shared" si="0"/>
        <v>-3.748038655807054E-3</v>
      </c>
      <c r="E37" s="53"/>
    </row>
    <row r="38" spans="1:7" ht="15.75" customHeight="1" x14ac:dyDescent="0.3">
      <c r="C38" s="329">
        <v>361.1</v>
      </c>
      <c r="D38" s="88">
        <f t="shared" si="0"/>
        <v>1.047898381579127E-3</v>
      </c>
      <c r="E38" s="53"/>
    </row>
    <row r="39" spans="1:7" ht="15.75" customHeight="1" x14ac:dyDescent="0.3">
      <c r="C39" s="329">
        <v>363.33</v>
      </c>
      <c r="D39" s="88">
        <f t="shared" si="0"/>
        <v>7.2299443893079629E-3</v>
      </c>
      <c r="E39" s="53"/>
    </row>
    <row r="40" spans="1:7" ht="15.75" customHeight="1" x14ac:dyDescent="0.3">
      <c r="C40" s="329">
        <v>360.94</v>
      </c>
      <c r="D40" s="88">
        <f t="shared" si="0"/>
        <v>6.0434351106935776E-4</v>
      </c>
      <c r="E40" s="53"/>
    </row>
    <row r="41" spans="1:7" ht="15.75" customHeight="1" x14ac:dyDescent="0.3">
      <c r="C41" s="329">
        <v>357.46</v>
      </c>
      <c r="D41" s="88">
        <f t="shared" si="0"/>
        <v>-9.042974922516666E-3</v>
      </c>
      <c r="E41" s="53"/>
    </row>
    <row r="42" spans="1:7" ht="15.75" customHeight="1" x14ac:dyDescent="0.3">
      <c r="C42" s="329">
        <v>360.63</v>
      </c>
      <c r="D42" s="88">
        <f t="shared" si="0"/>
        <v>-2.550440505431922E-4</v>
      </c>
      <c r="E42" s="53"/>
    </row>
    <row r="43" spans="1:7" ht="16.5" customHeight="1" x14ac:dyDescent="0.3">
      <c r="C43" s="330">
        <v>359.54</v>
      </c>
      <c r="D43" s="89">
        <f t="shared" si="0"/>
        <v>-3.2767616058904537E-3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7214.4400000000005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360.72200000000004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2">
        <f>C46</f>
        <v>360.72200000000004</v>
      </c>
      <c r="C49" s="93">
        <f>-IF(C46&lt;=80,10%,IF(C46&lt;250,7.5%,5%))</f>
        <v>-0.05</v>
      </c>
      <c r="D49" s="81">
        <f>IF(C46&lt;=80,C46*0.9,IF(C46&lt;250,C46*0.925,C46*0.95))</f>
        <v>342.6859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378.75810000000007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 t="s">
        <v>129</v>
      </c>
      <c r="C53" s="72"/>
      <c r="D53" s="71" t="s">
        <v>128</v>
      </c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32" zoomScale="60" zoomScaleNormal="40" zoomScalePageLayoutView="55" workbookViewId="0">
      <selection activeCell="G123" sqref="G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44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45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6"/>
    </row>
    <row r="16" spans="1:9" ht="19.5" customHeight="1" x14ac:dyDescent="0.3">
      <c r="A16" s="291" t="s">
        <v>30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46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98" t="s">
        <v>32</v>
      </c>
      <c r="B18" s="290" t="s">
        <v>5</v>
      </c>
      <c r="C18" s="290"/>
      <c r="D18" s="268"/>
      <c r="E18" s="99"/>
      <c r="F18" s="100"/>
      <c r="G18" s="100"/>
      <c r="H18" s="100"/>
    </row>
    <row r="19" spans="1:14" ht="26.25" customHeight="1" x14ac:dyDescent="0.4">
      <c r="A19" s="98" t="s">
        <v>33</v>
      </c>
      <c r="B19" s="101" t="s">
        <v>7</v>
      </c>
      <c r="C19" s="270">
        <v>21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34</v>
      </c>
      <c r="B20" s="295" t="s">
        <v>9</v>
      </c>
      <c r="C20" s="295"/>
      <c r="D20" s="100"/>
      <c r="E20" s="100"/>
      <c r="F20" s="100"/>
      <c r="G20" s="100"/>
      <c r="H20" s="100"/>
    </row>
    <row r="21" spans="1:14" ht="26.25" customHeight="1" x14ac:dyDescent="0.4">
      <c r="A21" s="98" t="s">
        <v>35</v>
      </c>
      <c r="B21" s="295" t="s">
        <v>11</v>
      </c>
      <c r="C21" s="295"/>
      <c r="D21" s="295"/>
      <c r="E21" s="295"/>
      <c r="F21" s="295"/>
      <c r="G21" s="295"/>
      <c r="H21" s="295"/>
      <c r="I21" s="102"/>
    </row>
    <row r="22" spans="1:14" ht="26.25" customHeight="1" x14ac:dyDescent="0.4">
      <c r="A22" s="98" t="s">
        <v>36</v>
      </c>
      <c r="B22" s="103" t="s">
        <v>125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37</v>
      </c>
      <c r="B23" s="103" t="s">
        <v>124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290" t="s">
        <v>9</v>
      </c>
      <c r="C26" s="290"/>
    </row>
    <row r="27" spans="1:14" ht="26.25" customHeight="1" x14ac:dyDescent="0.4">
      <c r="A27" s="107" t="s">
        <v>47</v>
      </c>
      <c r="B27" s="296" t="s">
        <v>126</v>
      </c>
      <c r="C27" s="296"/>
    </row>
    <row r="28" spans="1:14" ht="27" customHeight="1" x14ac:dyDescent="0.4">
      <c r="A28" s="107" t="s">
        <v>6</v>
      </c>
      <c r="B28" s="108">
        <v>99.36</v>
      </c>
    </row>
    <row r="29" spans="1:14" s="14" customFormat="1" ht="27" customHeight="1" x14ac:dyDescent="0.4">
      <c r="A29" s="107" t="s">
        <v>48</v>
      </c>
      <c r="B29" s="109">
        <v>0</v>
      </c>
      <c r="C29" s="297" t="s">
        <v>49</v>
      </c>
      <c r="D29" s="298"/>
      <c r="E29" s="298"/>
      <c r="F29" s="298"/>
      <c r="G29" s="299"/>
      <c r="I29" s="110"/>
      <c r="J29" s="110"/>
      <c r="K29" s="110"/>
      <c r="L29" s="110"/>
    </row>
    <row r="30" spans="1:14" s="14" customFormat="1" ht="19.5" customHeight="1" x14ac:dyDescent="0.3">
      <c r="A30" s="107" t="s">
        <v>50</v>
      </c>
      <c r="B30" s="111">
        <f>B28-B29</f>
        <v>99.36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51</v>
      </c>
      <c r="B31" s="114">
        <v>1</v>
      </c>
      <c r="C31" s="300" t="s">
        <v>52</v>
      </c>
      <c r="D31" s="301"/>
      <c r="E31" s="301"/>
      <c r="F31" s="301"/>
      <c r="G31" s="301"/>
      <c r="H31" s="302"/>
      <c r="I31" s="110"/>
      <c r="J31" s="110"/>
      <c r="K31" s="110"/>
      <c r="L31" s="110"/>
    </row>
    <row r="32" spans="1:14" s="14" customFormat="1" ht="27" customHeight="1" x14ac:dyDescent="0.4">
      <c r="A32" s="107" t="s">
        <v>53</v>
      </c>
      <c r="B32" s="114">
        <v>1</v>
      </c>
      <c r="C32" s="300" t="s">
        <v>54</v>
      </c>
      <c r="D32" s="301"/>
      <c r="E32" s="301"/>
      <c r="F32" s="301"/>
      <c r="G32" s="301"/>
      <c r="H32" s="302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55</v>
      </c>
      <c r="B34" s="119">
        <f>B31/B32</f>
        <v>1</v>
      </c>
      <c r="C34" s="97" t="s">
        <v>56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57</v>
      </c>
      <c r="B36" s="121">
        <v>100</v>
      </c>
      <c r="C36" s="97"/>
      <c r="D36" s="303" t="s">
        <v>58</v>
      </c>
      <c r="E36" s="304"/>
      <c r="F36" s="303" t="s">
        <v>59</v>
      </c>
      <c r="G36" s="305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60</v>
      </c>
      <c r="B37" s="123">
        <v>1</v>
      </c>
      <c r="C37" s="124" t="s">
        <v>61</v>
      </c>
      <c r="D37" s="125" t="s">
        <v>62</v>
      </c>
      <c r="E37" s="126" t="s">
        <v>63</v>
      </c>
      <c r="F37" s="125" t="s">
        <v>62</v>
      </c>
      <c r="G37" s="127" t="s">
        <v>63</v>
      </c>
      <c r="I37" s="128" t="s">
        <v>64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65</v>
      </c>
      <c r="B38" s="123">
        <v>1</v>
      </c>
      <c r="C38" s="129">
        <v>1</v>
      </c>
      <c r="D38" s="130">
        <v>67707692</v>
      </c>
      <c r="E38" s="131">
        <f>IF(ISBLANK(D38),"-",$D$48/$D$45*D38)</f>
        <v>62488594.589047112</v>
      </c>
      <c r="F38" s="130">
        <v>68435755</v>
      </c>
      <c r="G38" s="132">
        <f>IF(ISBLANK(F38),"-",$D$48/$F$45*F38)</f>
        <v>62786294.45405931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66</v>
      </c>
      <c r="B39" s="123">
        <v>1</v>
      </c>
      <c r="C39" s="134">
        <v>2</v>
      </c>
      <c r="D39" s="135">
        <v>67890655</v>
      </c>
      <c r="E39" s="136">
        <f>IF(ISBLANK(D39),"-",$D$48/$D$45*D39)</f>
        <v>62657454.291601971</v>
      </c>
      <c r="F39" s="135">
        <v>68755419</v>
      </c>
      <c r="G39" s="137">
        <f>IF(ISBLANK(F39),"-",$D$48/$F$45*F39)</f>
        <v>63079569.775276452</v>
      </c>
      <c r="I39" s="307">
        <f>ABS((F43/D43*D42)-F42)/D42</f>
        <v>2.3886476132703493E-3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67</v>
      </c>
      <c r="B40" s="123">
        <v>1</v>
      </c>
      <c r="C40" s="134">
        <v>3</v>
      </c>
      <c r="D40" s="135">
        <v>68195646</v>
      </c>
      <c r="E40" s="136">
        <f>IF(ISBLANK(D40),"-",$D$48/$D$45*D40)</f>
        <v>62938935.73616676</v>
      </c>
      <c r="F40" s="135">
        <v>68086036</v>
      </c>
      <c r="G40" s="137">
        <f>IF(ISBLANK(F40),"-",$D$48/$F$45*F40)</f>
        <v>62465445.21216552</v>
      </c>
      <c r="I40" s="307"/>
      <c r="L40" s="115"/>
      <c r="M40" s="115"/>
      <c r="N40" s="138"/>
    </row>
    <row r="41" spans="1:14" ht="27" customHeight="1" x14ac:dyDescent="0.4">
      <c r="A41" s="122" t="s">
        <v>68</v>
      </c>
      <c r="B41" s="123">
        <v>1</v>
      </c>
      <c r="C41" s="139">
        <v>4</v>
      </c>
      <c r="D41" s="140">
        <v>68341134</v>
      </c>
      <c r="E41" s="141">
        <f>IF(ISBLANK(D41),"-",$D$48/$D$45*D41)</f>
        <v>63073209.116059422</v>
      </c>
      <c r="F41" s="140">
        <v>69130032</v>
      </c>
      <c r="G41" s="142">
        <f>IF(ISBLANK(F41),"-",$D$48/$F$45*F41)</f>
        <v>63423257.985106513</v>
      </c>
      <c r="I41" s="143"/>
      <c r="L41" s="115"/>
      <c r="M41" s="115"/>
      <c r="N41" s="138"/>
    </row>
    <row r="42" spans="1:14" ht="27" customHeight="1" x14ac:dyDescent="0.4">
      <c r="A42" s="122" t="s">
        <v>69</v>
      </c>
      <c r="B42" s="123">
        <v>1</v>
      </c>
      <c r="C42" s="144" t="s">
        <v>70</v>
      </c>
      <c r="D42" s="145">
        <f>AVERAGE(D38:D41)</f>
        <v>68033781.75</v>
      </c>
      <c r="E42" s="146">
        <f>AVERAGE(E38:E41)</f>
        <v>62789548.433218822</v>
      </c>
      <c r="F42" s="145">
        <f>AVERAGE(F38:F41)</f>
        <v>68601810.5</v>
      </c>
      <c r="G42" s="147">
        <f>AVERAGE(G38:G41)</f>
        <v>62938641.856651947</v>
      </c>
      <c r="H42" s="148"/>
    </row>
    <row r="43" spans="1:14" ht="26.25" customHeight="1" x14ac:dyDescent="0.4">
      <c r="A43" s="122" t="s">
        <v>71</v>
      </c>
      <c r="B43" s="123">
        <v>1</v>
      </c>
      <c r="C43" s="149" t="s">
        <v>72</v>
      </c>
      <c r="D43" s="150">
        <v>21.81</v>
      </c>
      <c r="E43" s="203"/>
      <c r="F43" s="150">
        <v>21.94</v>
      </c>
      <c r="G43" s="225"/>
      <c r="H43" s="148"/>
    </row>
    <row r="44" spans="1:14" ht="26.25" customHeight="1" x14ac:dyDescent="0.4">
      <c r="A44" s="122" t="s">
        <v>73</v>
      </c>
      <c r="B44" s="123">
        <v>1</v>
      </c>
      <c r="C44" s="151" t="s">
        <v>74</v>
      </c>
      <c r="D44" s="152">
        <f>D43*$B$34</f>
        <v>21.81</v>
      </c>
      <c r="E44" s="153"/>
      <c r="F44" s="152">
        <f>F43*$B$34</f>
        <v>21.94</v>
      </c>
      <c r="H44" s="148"/>
    </row>
    <row r="45" spans="1:14" ht="19.5" customHeight="1" x14ac:dyDescent="0.3">
      <c r="A45" s="122" t="s">
        <v>75</v>
      </c>
      <c r="B45" s="154">
        <f>(B44/B43)*(B42/B41)*(B40/B39)*(B38/B37)*B36</f>
        <v>100</v>
      </c>
      <c r="C45" s="151" t="s">
        <v>76</v>
      </c>
      <c r="D45" s="155">
        <f>D44*$B$30/100</f>
        <v>21.670415999999999</v>
      </c>
      <c r="E45" s="156"/>
      <c r="F45" s="155">
        <f>F44*$B$30/100</f>
        <v>21.799583999999999</v>
      </c>
      <c r="H45" s="148"/>
    </row>
    <row r="46" spans="1:14" ht="19.5" customHeight="1" x14ac:dyDescent="0.3">
      <c r="A46" s="308" t="s">
        <v>77</v>
      </c>
      <c r="B46" s="309"/>
      <c r="C46" s="151" t="s">
        <v>78</v>
      </c>
      <c r="D46" s="157">
        <f>D45/$B$45</f>
        <v>0.21670416000000001</v>
      </c>
      <c r="E46" s="158"/>
      <c r="F46" s="159">
        <f>F45/$B$45</f>
        <v>0.21799584</v>
      </c>
      <c r="H46" s="148"/>
    </row>
    <row r="47" spans="1:14" ht="27" customHeight="1" x14ac:dyDescent="0.4">
      <c r="A47" s="310"/>
      <c r="B47" s="311"/>
      <c r="C47" s="160" t="s">
        <v>79</v>
      </c>
      <c r="D47" s="161">
        <v>0.2</v>
      </c>
      <c r="E47" s="162"/>
      <c r="F47" s="158"/>
      <c r="H47" s="148"/>
    </row>
    <row r="48" spans="1:14" ht="18.75" x14ac:dyDescent="0.3">
      <c r="C48" s="163" t="s">
        <v>80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81</v>
      </c>
      <c r="D49" s="166">
        <f>D48/B34</f>
        <v>20</v>
      </c>
      <c r="F49" s="164"/>
      <c r="H49" s="148"/>
    </row>
    <row r="50" spans="1:12" ht="18.75" x14ac:dyDescent="0.3">
      <c r="C50" s="120" t="s">
        <v>82</v>
      </c>
      <c r="D50" s="167">
        <f>AVERAGE(E38:E41,G38:G41)</f>
        <v>62864095.144935384</v>
      </c>
      <c r="F50" s="168"/>
      <c r="H50" s="148"/>
    </row>
    <row r="51" spans="1:12" ht="18.75" x14ac:dyDescent="0.3">
      <c r="C51" s="122" t="s">
        <v>83</v>
      </c>
      <c r="D51" s="169">
        <f>STDEV(E38:E41,G38:G41)/D50</f>
        <v>5.2314774563829254E-3</v>
      </c>
      <c r="F51" s="168"/>
      <c r="H51" s="148"/>
    </row>
    <row r="52" spans="1:12" ht="19.5" customHeight="1" x14ac:dyDescent="0.3">
      <c r="C52" s="170" t="s">
        <v>19</v>
      </c>
      <c r="D52" s="171">
        <f>COUNT(E38:E41,G38:G41)</f>
        <v>8</v>
      </c>
      <c r="F52" s="168"/>
    </row>
    <row r="54" spans="1:12" ht="18.75" x14ac:dyDescent="0.3">
      <c r="A54" s="172" t="s">
        <v>1</v>
      </c>
      <c r="B54" s="173" t="s">
        <v>84</v>
      </c>
    </row>
    <row r="55" spans="1:12" ht="18.75" x14ac:dyDescent="0.3">
      <c r="A55" s="97" t="s">
        <v>85</v>
      </c>
      <c r="B55" s="174" t="str">
        <f>B21</f>
        <v>Each film coated tablet contains Etoricoxib INN 90mg</v>
      </c>
    </row>
    <row r="56" spans="1:12" ht="26.25" customHeight="1" x14ac:dyDescent="0.4">
      <c r="A56" s="175" t="s">
        <v>86</v>
      </c>
      <c r="B56" s="176">
        <v>90</v>
      </c>
      <c r="C56" s="97" t="str">
        <f>B20</f>
        <v>Etoricoxib</v>
      </c>
      <c r="H56" s="177"/>
    </row>
    <row r="57" spans="1:12" ht="18.75" x14ac:dyDescent="0.3">
      <c r="A57" s="174" t="s">
        <v>87</v>
      </c>
      <c r="B57" s="269">
        <f>Uniformity!C46</f>
        <v>360.72200000000004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88</v>
      </c>
      <c r="B59" s="121">
        <v>50</v>
      </c>
      <c r="C59" s="97"/>
      <c r="D59" s="178" t="s">
        <v>89</v>
      </c>
      <c r="E59" s="179" t="s">
        <v>61</v>
      </c>
      <c r="F59" s="179" t="s">
        <v>62</v>
      </c>
      <c r="G59" s="179" t="s">
        <v>90</v>
      </c>
      <c r="H59" s="124" t="s">
        <v>91</v>
      </c>
      <c r="L59" s="110"/>
    </row>
    <row r="60" spans="1:12" s="14" customFormat="1" ht="26.25" customHeight="1" x14ac:dyDescent="0.4">
      <c r="A60" s="122" t="s">
        <v>92</v>
      </c>
      <c r="B60" s="123">
        <v>5</v>
      </c>
      <c r="C60" s="312" t="s">
        <v>93</v>
      </c>
      <c r="D60" s="315">
        <v>161.54</v>
      </c>
      <c r="E60" s="180">
        <v>1</v>
      </c>
      <c r="F60" s="181">
        <v>62847893</v>
      </c>
      <c r="G60" s="271">
        <f>IF(ISBLANK(F60),"-",(F60/$D$50*$D$47*$B$68)*($B$57/$D$60))</f>
        <v>89.29776651636972</v>
      </c>
      <c r="H60" s="182">
        <f t="shared" ref="H60:H71" si="0">IF(ISBLANK(F60),"-",G60/$B$56)</f>
        <v>0.99219740573744131</v>
      </c>
      <c r="L60" s="110"/>
    </row>
    <row r="61" spans="1:12" s="14" customFormat="1" ht="26.25" customHeight="1" x14ac:dyDescent="0.4">
      <c r="A61" s="122" t="s">
        <v>94</v>
      </c>
      <c r="B61" s="123">
        <v>20</v>
      </c>
      <c r="C61" s="313"/>
      <c r="D61" s="316"/>
      <c r="E61" s="183">
        <v>2</v>
      </c>
      <c r="F61" s="135">
        <v>63158367</v>
      </c>
      <c r="G61" s="272">
        <f>IF(ISBLANK(F61),"-",(F61/$D$50*$D$47*$B$68)*($B$57/$D$60))</f>
        <v>89.73890516777054</v>
      </c>
      <c r="H61" s="184">
        <f t="shared" si="0"/>
        <v>0.99709894630856155</v>
      </c>
      <c r="L61" s="110"/>
    </row>
    <row r="62" spans="1:12" s="14" customFormat="1" ht="26.25" customHeight="1" x14ac:dyDescent="0.4">
      <c r="A62" s="122" t="s">
        <v>95</v>
      </c>
      <c r="B62" s="123">
        <v>1</v>
      </c>
      <c r="C62" s="313"/>
      <c r="D62" s="316"/>
      <c r="E62" s="183">
        <v>3</v>
      </c>
      <c r="F62" s="185">
        <v>63352707</v>
      </c>
      <c r="G62" s="272">
        <f>IF(ISBLANK(F62),"-",(F62/$D$50*$D$47*$B$68)*($B$57/$D$60))</f>
        <v>90.015034201162194</v>
      </c>
      <c r="H62" s="184">
        <f t="shared" si="0"/>
        <v>1.00016704667958</v>
      </c>
      <c r="L62" s="110"/>
    </row>
    <row r="63" spans="1:12" ht="27" customHeight="1" x14ac:dyDescent="0.4">
      <c r="A63" s="122" t="s">
        <v>96</v>
      </c>
      <c r="B63" s="123">
        <v>1</v>
      </c>
      <c r="C63" s="314"/>
      <c r="D63" s="317"/>
      <c r="E63" s="186">
        <v>4</v>
      </c>
      <c r="F63" s="187"/>
      <c r="G63" s="272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97</v>
      </c>
      <c r="B64" s="123">
        <v>1</v>
      </c>
      <c r="C64" s="312" t="s">
        <v>98</v>
      </c>
      <c r="D64" s="315">
        <v>163.65</v>
      </c>
      <c r="E64" s="180">
        <v>1</v>
      </c>
      <c r="F64" s="181">
        <v>63486728</v>
      </c>
      <c r="G64" s="273">
        <f>IF(ISBLANK(F64),"-",(F64/$D$50*$D$47*$B$68)*($B$57/$D$64))</f>
        <v>89.042406305009109</v>
      </c>
      <c r="H64" s="188">
        <f t="shared" si="0"/>
        <v>0.98936007005565674</v>
      </c>
    </row>
    <row r="65" spans="1:8" ht="26.25" customHeight="1" x14ac:dyDescent="0.4">
      <c r="A65" s="122" t="s">
        <v>99</v>
      </c>
      <c r="B65" s="123">
        <v>1</v>
      </c>
      <c r="C65" s="313"/>
      <c r="D65" s="316"/>
      <c r="E65" s="183">
        <v>2</v>
      </c>
      <c r="F65" s="135">
        <v>64450230</v>
      </c>
      <c r="G65" s="274">
        <f>IF(ISBLANK(F65),"-",(F65/$D$50*$D$47*$B$68)*($B$57/$D$64))</f>
        <v>90.393752314834785</v>
      </c>
      <c r="H65" s="189">
        <f t="shared" si="0"/>
        <v>1.0043750257203865</v>
      </c>
    </row>
    <row r="66" spans="1:8" ht="26.25" customHeight="1" x14ac:dyDescent="0.4">
      <c r="A66" s="122" t="s">
        <v>100</v>
      </c>
      <c r="B66" s="123">
        <v>1</v>
      </c>
      <c r="C66" s="313"/>
      <c r="D66" s="316"/>
      <c r="E66" s="183">
        <v>3</v>
      </c>
      <c r="F66" s="135">
        <v>64043501</v>
      </c>
      <c r="G66" s="274">
        <f>IF(ISBLANK(F66),"-",(F66/$D$50*$D$47*$B$68)*($B$57/$D$64))</f>
        <v>89.823300347708226</v>
      </c>
      <c r="H66" s="189">
        <f t="shared" si="0"/>
        <v>0.99803667053009137</v>
      </c>
    </row>
    <row r="67" spans="1:8" ht="27" customHeight="1" x14ac:dyDescent="0.4">
      <c r="A67" s="122" t="s">
        <v>101</v>
      </c>
      <c r="B67" s="123">
        <v>1</v>
      </c>
      <c r="C67" s="314"/>
      <c r="D67" s="317"/>
      <c r="E67" s="186">
        <v>4</v>
      </c>
      <c r="F67" s="187"/>
      <c r="G67" s="275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102</v>
      </c>
      <c r="B68" s="191">
        <f>(B67/B66)*(B65/B64)*(B63/B62)*(B61/B60)*B59</f>
        <v>200</v>
      </c>
      <c r="C68" s="312" t="s">
        <v>103</v>
      </c>
      <c r="D68" s="315">
        <v>162.21</v>
      </c>
      <c r="E68" s="180">
        <v>1</v>
      </c>
      <c r="F68" s="181">
        <v>62629703</v>
      </c>
      <c r="G68" s="273">
        <f>IF(ISBLANK(F68),"-",(F68/$D$50*$D$47*$B$68)*($B$57/$D$68))</f>
        <v>88.620190791541177</v>
      </c>
      <c r="H68" s="184">
        <f t="shared" si="0"/>
        <v>0.98466878657267976</v>
      </c>
    </row>
    <row r="69" spans="1:8" ht="27" customHeight="1" x14ac:dyDescent="0.4">
      <c r="A69" s="170" t="s">
        <v>104</v>
      </c>
      <c r="B69" s="192">
        <f>(D47*B68)/B56*B57</f>
        <v>160.3208888888889</v>
      </c>
      <c r="C69" s="313"/>
      <c r="D69" s="316"/>
      <c r="E69" s="183">
        <v>2</v>
      </c>
      <c r="F69" s="135">
        <v>62772735</v>
      </c>
      <c r="G69" s="274">
        <f>IF(ISBLANK(F69),"-",(F69/$D$50*$D$47*$B$68)*($B$57/$D$68))</f>
        <v>88.822579155562238</v>
      </c>
      <c r="H69" s="184">
        <f t="shared" si="0"/>
        <v>0.98691754617291372</v>
      </c>
    </row>
    <row r="70" spans="1:8" ht="26.25" customHeight="1" x14ac:dyDescent="0.4">
      <c r="A70" s="325" t="s">
        <v>77</v>
      </c>
      <c r="B70" s="326"/>
      <c r="C70" s="313"/>
      <c r="D70" s="316"/>
      <c r="E70" s="183">
        <v>3</v>
      </c>
      <c r="F70" s="135">
        <v>63049401</v>
      </c>
      <c r="G70" s="274">
        <f>IF(ISBLANK(F70),"-",(F70/$D$50*$D$47*$B$68)*($B$57/$D$68))</f>
        <v>89.214057839494885</v>
      </c>
      <c r="H70" s="184">
        <f t="shared" si="0"/>
        <v>0.99126730932772089</v>
      </c>
    </row>
    <row r="71" spans="1:8" ht="27" customHeight="1" x14ac:dyDescent="0.4">
      <c r="A71" s="327"/>
      <c r="B71" s="328"/>
      <c r="C71" s="324"/>
      <c r="D71" s="317"/>
      <c r="E71" s="186">
        <v>4</v>
      </c>
      <c r="F71" s="187"/>
      <c r="G71" s="275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70</v>
      </c>
      <c r="H72" s="197">
        <f>AVERAGE(H60:H71)</f>
        <v>0.99378764523389251</v>
      </c>
    </row>
    <row r="73" spans="1:8" ht="26.25" customHeight="1" x14ac:dyDescent="0.4">
      <c r="C73" s="194"/>
      <c r="D73" s="194"/>
      <c r="E73" s="194"/>
      <c r="F73" s="195"/>
      <c r="G73" s="198" t="s">
        <v>83</v>
      </c>
      <c r="H73" s="276">
        <f>STDEV(H60:H71)/H72</f>
        <v>6.5661701050068822E-3</v>
      </c>
    </row>
    <row r="74" spans="1:8" ht="27" customHeight="1" x14ac:dyDescent="0.4">
      <c r="A74" s="194"/>
      <c r="B74" s="194"/>
      <c r="C74" s="195"/>
      <c r="D74" s="195"/>
      <c r="E74" s="199"/>
      <c r="F74" s="195"/>
      <c r="G74" s="200" t="s">
        <v>19</v>
      </c>
      <c r="H74" s="201">
        <f>COUNT(H60:H71)</f>
        <v>9</v>
      </c>
    </row>
    <row r="76" spans="1:8" ht="26.25" customHeight="1" x14ac:dyDescent="0.4">
      <c r="A76" s="106" t="s">
        <v>105</v>
      </c>
      <c r="B76" s="202" t="s">
        <v>106</v>
      </c>
      <c r="C76" s="320" t="str">
        <f>B20</f>
        <v>Etoricoxib</v>
      </c>
      <c r="D76" s="320"/>
      <c r="E76" s="203" t="s">
        <v>107</v>
      </c>
      <c r="F76" s="203"/>
      <c r="G76" s="204">
        <f>H72</f>
        <v>0.99378764523389251</v>
      </c>
      <c r="H76" s="205"/>
    </row>
    <row r="77" spans="1:8" ht="18.75" x14ac:dyDescent="0.3">
      <c r="A77" s="105" t="s">
        <v>108</v>
      </c>
      <c r="B77" s="105" t="s">
        <v>109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06" t="str">
        <f>B26</f>
        <v>Etoricoxib</v>
      </c>
      <c r="C79" s="306"/>
    </row>
    <row r="80" spans="1:8" ht="26.25" customHeight="1" x14ac:dyDescent="0.4">
      <c r="A80" s="107" t="s">
        <v>47</v>
      </c>
      <c r="B80" s="306" t="str">
        <f>B27</f>
        <v>NQCL/WRS/E2-1</v>
      </c>
      <c r="C80" s="306"/>
    </row>
    <row r="81" spans="1:12" ht="27" customHeight="1" x14ac:dyDescent="0.4">
      <c r="A81" s="107" t="s">
        <v>6</v>
      </c>
      <c r="B81" s="206">
        <f>B28</f>
        <v>99.36</v>
      </c>
    </row>
    <row r="82" spans="1:12" s="14" customFormat="1" ht="27" customHeight="1" x14ac:dyDescent="0.4">
      <c r="A82" s="107" t="s">
        <v>48</v>
      </c>
      <c r="B82" s="109">
        <v>0</v>
      </c>
      <c r="C82" s="297" t="s">
        <v>49</v>
      </c>
      <c r="D82" s="298"/>
      <c r="E82" s="298"/>
      <c r="F82" s="298"/>
      <c r="G82" s="299"/>
      <c r="I82" s="110"/>
      <c r="J82" s="110"/>
      <c r="K82" s="110"/>
      <c r="L82" s="110"/>
    </row>
    <row r="83" spans="1:12" s="14" customFormat="1" ht="19.5" customHeight="1" x14ac:dyDescent="0.3">
      <c r="A83" s="107" t="s">
        <v>50</v>
      </c>
      <c r="B83" s="111">
        <f>B81-B82</f>
        <v>99.36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51</v>
      </c>
      <c r="B84" s="114">
        <v>154.46</v>
      </c>
      <c r="C84" s="300" t="s">
        <v>110</v>
      </c>
      <c r="D84" s="301"/>
      <c r="E84" s="301"/>
      <c r="F84" s="301"/>
      <c r="G84" s="301"/>
      <c r="H84" s="302"/>
      <c r="I84" s="110"/>
      <c r="J84" s="110"/>
      <c r="K84" s="110"/>
      <c r="L84" s="110"/>
    </row>
    <row r="85" spans="1:12" s="14" customFormat="1" ht="27" customHeight="1" x14ac:dyDescent="0.4">
      <c r="A85" s="107" t="s">
        <v>53</v>
      </c>
      <c r="B85" s="114">
        <v>165.23</v>
      </c>
      <c r="C85" s="300" t="s">
        <v>111</v>
      </c>
      <c r="D85" s="301"/>
      <c r="E85" s="301"/>
      <c r="F85" s="301"/>
      <c r="G85" s="301"/>
      <c r="H85" s="302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55</v>
      </c>
      <c r="B87" s="119">
        <f>B84/B85</f>
        <v>0.93481813230042976</v>
      </c>
      <c r="C87" s="97" t="s">
        <v>56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57</v>
      </c>
      <c r="B89" s="121">
        <v>100</v>
      </c>
      <c r="D89" s="207" t="s">
        <v>58</v>
      </c>
      <c r="E89" s="208"/>
      <c r="F89" s="303" t="s">
        <v>59</v>
      </c>
      <c r="G89" s="305"/>
    </row>
    <row r="90" spans="1:12" ht="27" customHeight="1" x14ac:dyDescent="0.4">
      <c r="A90" s="122" t="s">
        <v>60</v>
      </c>
      <c r="B90" s="123">
        <v>3</v>
      </c>
      <c r="C90" s="209" t="s">
        <v>61</v>
      </c>
      <c r="D90" s="125" t="s">
        <v>62</v>
      </c>
      <c r="E90" s="126" t="s">
        <v>63</v>
      </c>
      <c r="F90" s="125" t="s">
        <v>62</v>
      </c>
      <c r="G90" s="210" t="s">
        <v>63</v>
      </c>
      <c r="I90" s="128" t="s">
        <v>64</v>
      </c>
    </row>
    <row r="91" spans="1:12" ht="26.25" customHeight="1" x14ac:dyDescent="0.4">
      <c r="A91" s="122" t="s">
        <v>65</v>
      </c>
      <c r="B91" s="123">
        <v>100</v>
      </c>
      <c r="C91" s="211">
        <v>1</v>
      </c>
      <c r="D91" s="130">
        <v>0.47299999999999998</v>
      </c>
      <c r="E91" s="131">
        <f>IF(ISBLANK(D91),"-",$D$101/$D$98*D91)</f>
        <v>0.46697836508614687</v>
      </c>
      <c r="F91" s="130">
        <v>0.48199999999999998</v>
      </c>
      <c r="G91" s="132">
        <f>IF(ISBLANK(F91),"-",$D$101/$F$98*F91)</f>
        <v>0.47304417628501627</v>
      </c>
      <c r="I91" s="133"/>
    </row>
    <row r="92" spans="1:12" ht="26.25" customHeight="1" x14ac:dyDescent="0.4">
      <c r="A92" s="122" t="s">
        <v>66</v>
      </c>
      <c r="B92" s="123">
        <v>1</v>
      </c>
      <c r="C92" s="195">
        <v>2</v>
      </c>
      <c r="D92" s="135">
        <v>0.47299999999999998</v>
      </c>
      <c r="E92" s="136">
        <f>IF(ISBLANK(D92),"-",$D$101/$D$98*D92)</f>
        <v>0.46697836508614687</v>
      </c>
      <c r="F92" s="135">
        <v>0.48399999999999999</v>
      </c>
      <c r="G92" s="137">
        <f>IF(ISBLANK(F92),"-",$D$101/$F$98*F92)</f>
        <v>0.47500701519076322</v>
      </c>
      <c r="I92" s="307">
        <f>ABS((F96/D96*D95)-F95)/D95</f>
        <v>1.5901208604378204E-2</v>
      </c>
    </row>
    <row r="93" spans="1:12" ht="26.25" customHeight="1" x14ac:dyDescent="0.4">
      <c r="A93" s="122" t="s">
        <v>67</v>
      </c>
      <c r="B93" s="123">
        <v>1</v>
      </c>
      <c r="C93" s="195">
        <v>3</v>
      </c>
      <c r="D93" s="135">
        <v>0.47199999999999998</v>
      </c>
      <c r="E93" s="136">
        <f>IF(ISBLANK(D93),"-",$D$101/$D$98*D93)</f>
        <v>0.46599109581535159</v>
      </c>
      <c r="F93" s="135">
        <v>0.48299999999999998</v>
      </c>
      <c r="G93" s="137">
        <f>IF(ISBLANK(F93),"-",$D$101/$F$98*F93)</f>
        <v>0.47402559573788972</v>
      </c>
      <c r="I93" s="307"/>
    </row>
    <row r="94" spans="1:12" ht="27" customHeight="1" x14ac:dyDescent="0.4">
      <c r="A94" s="122" t="s">
        <v>68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69</v>
      </c>
      <c r="B95" s="123">
        <v>1</v>
      </c>
      <c r="C95" s="214" t="s">
        <v>70</v>
      </c>
      <c r="D95" s="215">
        <f>AVERAGE(D91:D94)</f>
        <v>0.47266666666666662</v>
      </c>
      <c r="E95" s="146">
        <f>AVERAGE(E91:E94)</f>
        <v>0.46664927532921513</v>
      </c>
      <c r="F95" s="216">
        <f>AVERAGE(F91:F94)</f>
        <v>0.48299999999999993</v>
      </c>
      <c r="G95" s="217">
        <f>AVERAGE(G91:G94)</f>
        <v>0.47402559573788966</v>
      </c>
    </row>
    <row r="96" spans="1:12" ht="26.25" customHeight="1" x14ac:dyDescent="0.4">
      <c r="A96" s="122" t="s">
        <v>71</v>
      </c>
      <c r="B96" s="108">
        <v>1</v>
      </c>
      <c r="C96" s="218" t="s">
        <v>112</v>
      </c>
      <c r="D96" s="219">
        <v>21.81</v>
      </c>
      <c r="E96" s="138"/>
      <c r="F96" s="150">
        <v>21.94</v>
      </c>
    </row>
    <row r="97" spans="1:10" ht="26.25" customHeight="1" x14ac:dyDescent="0.4">
      <c r="A97" s="122" t="s">
        <v>73</v>
      </c>
      <c r="B97" s="108">
        <v>1</v>
      </c>
      <c r="C97" s="220" t="s">
        <v>113</v>
      </c>
      <c r="D97" s="221">
        <f>D96*$B$87</f>
        <v>20.388383465472373</v>
      </c>
      <c r="E97" s="153"/>
      <c r="F97" s="152">
        <f>F96*$B$87</f>
        <v>20.509909822671432</v>
      </c>
    </row>
    <row r="98" spans="1:10" ht="19.5" customHeight="1" x14ac:dyDescent="0.3">
      <c r="A98" s="122" t="s">
        <v>75</v>
      </c>
      <c r="B98" s="222">
        <f>(B97/B96)*(B95/B94)*(B93/B92)*(B91/B90)*B89</f>
        <v>3333.3333333333335</v>
      </c>
      <c r="C98" s="220" t="s">
        <v>114</v>
      </c>
      <c r="D98" s="223">
        <f>D97*$B$83/100</f>
        <v>20.257897811293347</v>
      </c>
      <c r="E98" s="156"/>
      <c r="F98" s="155">
        <f>F97*$B$83/100</f>
        <v>20.378646399806335</v>
      </c>
    </row>
    <row r="99" spans="1:10" ht="19.5" customHeight="1" x14ac:dyDescent="0.3">
      <c r="A99" s="308" t="s">
        <v>77</v>
      </c>
      <c r="B99" s="322"/>
      <c r="C99" s="220" t="s">
        <v>115</v>
      </c>
      <c r="D99" s="224">
        <f>D98/$B$98</f>
        <v>6.0773693433880038E-3</v>
      </c>
      <c r="E99" s="156"/>
      <c r="F99" s="159">
        <f>F98/$B$98</f>
        <v>6.1135939199419001E-3</v>
      </c>
      <c r="G99" s="225"/>
      <c r="H99" s="148"/>
    </row>
    <row r="100" spans="1:10" ht="19.5" customHeight="1" x14ac:dyDescent="0.3">
      <c r="A100" s="310"/>
      <c r="B100" s="323"/>
      <c r="C100" s="220" t="s">
        <v>79</v>
      </c>
      <c r="D100" s="226">
        <f>$B$56/$B$116</f>
        <v>5.9999999999999993E-3</v>
      </c>
      <c r="F100" s="164"/>
      <c r="G100" s="227"/>
      <c r="H100" s="148"/>
    </row>
    <row r="101" spans="1:10" ht="18.75" x14ac:dyDescent="0.3">
      <c r="C101" s="220" t="s">
        <v>80</v>
      </c>
      <c r="D101" s="221">
        <f>D100*$B$98</f>
        <v>20</v>
      </c>
      <c r="F101" s="164"/>
      <c r="G101" s="225"/>
      <c r="H101" s="148"/>
    </row>
    <row r="102" spans="1:10" ht="19.5" customHeight="1" x14ac:dyDescent="0.3">
      <c r="C102" s="228" t="s">
        <v>81</v>
      </c>
      <c r="D102" s="229">
        <f>D101/B34</f>
        <v>20</v>
      </c>
      <c r="F102" s="168"/>
      <c r="G102" s="225"/>
      <c r="H102" s="148"/>
      <c r="J102" s="230"/>
    </row>
    <row r="103" spans="1:10" ht="18.75" x14ac:dyDescent="0.3">
      <c r="C103" s="231" t="s">
        <v>116</v>
      </c>
      <c r="D103" s="232">
        <f>AVERAGE(E91:E94,G91:G94)</f>
        <v>0.47033743553355239</v>
      </c>
      <c r="F103" s="168"/>
      <c r="G103" s="233"/>
      <c r="H103" s="148"/>
      <c r="J103" s="234"/>
    </row>
    <row r="104" spans="1:10" ht="18.75" x14ac:dyDescent="0.3">
      <c r="C104" s="198" t="s">
        <v>83</v>
      </c>
      <c r="D104" s="235">
        <f>STDEV(E91:E94,G91:G94)/D103</f>
        <v>8.7244712861224878E-3</v>
      </c>
      <c r="F104" s="168"/>
      <c r="G104" s="225"/>
      <c r="H104" s="148"/>
      <c r="J104" s="234"/>
    </row>
    <row r="105" spans="1:10" ht="19.5" customHeight="1" x14ac:dyDescent="0.3">
      <c r="C105" s="200" t="s">
        <v>19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117</v>
      </c>
      <c r="B107" s="121">
        <v>900</v>
      </c>
      <c r="C107" s="237" t="s">
        <v>118</v>
      </c>
      <c r="D107" s="238" t="s">
        <v>62</v>
      </c>
      <c r="E107" s="239" t="s">
        <v>119</v>
      </c>
      <c r="F107" s="240" t="s">
        <v>120</v>
      </c>
    </row>
    <row r="108" spans="1:10" ht="26.25" customHeight="1" x14ac:dyDescent="0.4">
      <c r="A108" s="122" t="s">
        <v>121</v>
      </c>
      <c r="B108" s="123">
        <v>3</v>
      </c>
      <c r="C108" s="241">
        <v>1</v>
      </c>
      <c r="D108" s="242">
        <v>0.40400000000000003</v>
      </c>
      <c r="E108" s="277">
        <f t="shared" ref="E108:E113" si="1">IF(ISBLANK(D108),"-",D108/$D$103*$D$100*$B$116)</f>
        <v>77.306200300116643</v>
      </c>
      <c r="F108" s="243">
        <f t="shared" ref="F108:F113" si="2">IF(ISBLANK(D108), "-", E108/$B$56)</f>
        <v>0.85895778111240717</v>
      </c>
    </row>
    <row r="109" spans="1:10" ht="26.25" customHeight="1" x14ac:dyDescent="0.4">
      <c r="A109" s="122" t="s">
        <v>94</v>
      </c>
      <c r="B109" s="123">
        <v>50</v>
      </c>
      <c r="C109" s="241">
        <v>2</v>
      </c>
      <c r="D109" s="242">
        <v>0.42</v>
      </c>
      <c r="E109" s="278">
        <f t="shared" si="1"/>
        <v>80.367831995170746</v>
      </c>
      <c r="F109" s="244">
        <f t="shared" si="2"/>
        <v>0.89297591105745278</v>
      </c>
    </row>
    <row r="110" spans="1:10" ht="26.25" customHeight="1" x14ac:dyDescent="0.4">
      <c r="A110" s="122" t="s">
        <v>95</v>
      </c>
      <c r="B110" s="123">
        <v>1</v>
      </c>
      <c r="C110" s="241">
        <v>3</v>
      </c>
      <c r="D110" s="242">
        <v>0.41</v>
      </c>
      <c r="E110" s="278">
        <f t="shared" si="1"/>
        <v>78.454312185761935</v>
      </c>
      <c r="F110" s="244">
        <f t="shared" si="2"/>
        <v>0.87171457984179923</v>
      </c>
    </row>
    <row r="111" spans="1:10" ht="26.25" customHeight="1" x14ac:dyDescent="0.4">
      <c r="A111" s="122" t="s">
        <v>96</v>
      </c>
      <c r="B111" s="123">
        <v>1</v>
      </c>
      <c r="C111" s="241">
        <v>4</v>
      </c>
      <c r="D111" s="242">
        <v>0.41199999999999998</v>
      </c>
      <c r="E111" s="278">
        <f t="shared" si="1"/>
        <v>78.837016147643695</v>
      </c>
      <c r="F111" s="244">
        <f t="shared" si="2"/>
        <v>0.87596684608492992</v>
      </c>
    </row>
    <row r="112" spans="1:10" ht="26.25" customHeight="1" x14ac:dyDescent="0.4">
      <c r="A112" s="122" t="s">
        <v>97</v>
      </c>
      <c r="B112" s="123">
        <v>1</v>
      </c>
      <c r="C112" s="241">
        <v>5</v>
      </c>
      <c r="D112" s="242">
        <v>0.42799999999999999</v>
      </c>
      <c r="E112" s="278">
        <f t="shared" si="1"/>
        <v>81.898647842697827</v>
      </c>
      <c r="F112" s="244">
        <f t="shared" si="2"/>
        <v>0.90998497602997586</v>
      </c>
    </row>
    <row r="113" spans="1:10" ht="26.25" customHeight="1" x14ac:dyDescent="0.4">
      <c r="A113" s="122" t="s">
        <v>99</v>
      </c>
      <c r="B113" s="123">
        <v>1</v>
      </c>
      <c r="C113" s="245">
        <v>6</v>
      </c>
      <c r="D113" s="246">
        <v>0.39500000000000002</v>
      </c>
      <c r="E113" s="279">
        <f t="shared" si="1"/>
        <v>75.584032471648712</v>
      </c>
      <c r="F113" s="247">
        <f t="shared" si="2"/>
        <v>0.83982258301831902</v>
      </c>
    </row>
    <row r="114" spans="1:10" ht="26.25" customHeight="1" x14ac:dyDescent="0.4">
      <c r="A114" s="122" t="s">
        <v>100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101</v>
      </c>
      <c r="B115" s="123">
        <v>1</v>
      </c>
      <c r="C115" s="241"/>
      <c r="D115" s="249"/>
      <c r="E115" s="250" t="s">
        <v>70</v>
      </c>
      <c r="F115" s="251">
        <f>AVERAGE(F108:F113)</f>
        <v>0.87490377952414722</v>
      </c>
    </row>
    <row r="116" spans="1:10" ht="27" customHeight="1" x14ac:dyDescent="0.4">
      <c r="A116" s="122" t="s">
        <v>102</v>
      </c>
      <c r="B116" s="154">
        <f>(B115/B114)*(B113/B112)*(B111/B110)*(B109/B108)*B107</f>
        <v>15000.000000000002</v>
      </c>
      <c r="C116" s="252"/>
      <c r="D116" s="253"/>
      <c r="E116" s="214" t="s">
        <v>83</v>
      </c>
      <c r="F116" s="254">
        <f>STDEV(F108:F113)/F115</f>
        <v>2.8246057246260496E-2</v>
      </c>
      <c r="I116" s="96"/>
    </row>
    <row r="117" spans="1:10" ht="27" customHeight="1" x14ac:dyDescent="0.4">
      <c r="A117" s="308" t="s">
        <v>77</v>
      </c>
      <c r="B117" s="309"/>
      <c r="C117" s="255"/>
      <c r="D117" s="256"/>
      <c r="E117" s="257" t="s">
        <v>19</v>
      </c>
      <c r="F117" s="258">
        <f>COUNT(F108:F113)</f>
        <v>6</v>
      </c>
      <c r="I117" s="96"/>
      <c r="J117" s="234"/>
    </row>
    <row r="118" spans="1:10" ht="19.5" customHeight="1" x14ac:dyDescent="0.3">
      <c r="A118" s="310"/>
      <c r="B118" s="311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7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105</v>
      </c>
      <c r="B120" s="202" t="s">
        <v>122</v>
      </c>
      <c r="C120" s="320" t="str">
        <f>B20</f>
        <v>Etoricoxib</v>
      </c>
      <c r="D120" s="320"/>
      <c r="E120" s="203" t="s">
        <v>123</v>
      </c>
      <c r="F120" s="203"/>
      <c r="G120" s="204">
        <f>F115</f>
        <v>0.87490377952414722</v>
      </c>
      <c r="H120" s="96"/>
      <c r="I120" s="96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1" t="s">
        <v>25</v>
      </c>
      <c r="C122" s="321"/>
      <c r="E122" s="209" t="s">
        <v>26</v>
      </c>
      <c r="F122" s="261"/>
      <c r="G122" s="321" t="s">
        <v>27</v>
      </c>
      <c r="H122" s="321"/>
    </row>
    <row r="123" spans="1:10" ht="44.25" customHeight="1" x14ac:dyDescent="0.3">
      <c r="A123" s="262" t="s">
        <v>28</v>
      </c>
      <c r="B123" s="263"/>
      <c r="C123" s="263" t="s">
        <v>127</v>
      </c>
      <c r="E123" s="263" t="s">
        <v>128</v>
      </c>
      <c r="F123" s="96"/>
      <c r="G123" s="264"/>
      <c r="H123" s="264"/>
    </row>
    <row r="124" spans="1:10" ht="51" customHeight="1" x14ac:dyDescent="0.3">
      <c r="A124" s="262" t="s">
        <v>29</v>
      </c>
      <c r="B124" s="265"/>
      <c r="C124" s="265"/>
      <c r="E124" s="265"/>
      <c r="F124" s="96"/>
      <c r="G124" s="266"/>
      <c r="H124" s="266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ETORICOXIB</vt:lpstr>
      <vt:lpstr>ETORICOXIB!Print_Area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2015-10-06T09:29:35Z</cp:lastPrinted>
  <dcterms:created xsi:type="dcterms:W3CDTF">2005-07-05T10:19:27Z</dcterms:created>
  <dcterms:modified xsi:type="dcterms:W3CDTF">2015-10-06T09:29:40Z</dcterms:modified>
  <cp:category/>
</cp:coreProperties>
</file>