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/>
  </bookViews>
  <sheets>
    <sheet name="SST" sheetId="1" r:id="rId1"/>
    <sheet name="Dihydroartemesinin" sheetId="2" r:id="rId2"/>
    <sheet name="SST (2)" sheetId="8" r:id="rId3"/>
    <sheet name="Piperaquine Phosp" sheetId="3" r:id="rId4"/>
    <sheet name="Uniformity" sheetId="4" r:id="rId5"/>
    <sheet name="Sheet1" sheetId="7" r:id="rId6"/>
  </sheets>
  <definedNames>
    <definedName name="_xlnm.Print_Area" localSheetId="4">Uniformity!$A$1:$F$54</definedName>
  </definedNames>
  <calcPr calcId="145621"/>
</workbook>
</file>

<file path=xl/calcChain.xml><?xml version="1.0" encoding="utf-8"?>
<calcChain xmlns="http://schemas.openxmlformats.org/spreadsheetml/2006/main">
  <c r="G91" i="3" l="1"/>
  <c r="E91" i="3"/>
  <c r="B98" i="3"/>
  <c r="H68" i="3"/>
  <c r="H64" i="3"/>
  <c r="H60" i="3"/>
  <c r="B69" i="3"/>
  <c r="B68" i="3"/>
  <c r="B45" i="3"/>
  <c r="B30" i="3"/>
  <c r="B34" i="3"/>
  <c r="B42" i="8"/>
  <c r="B21" i="8"/>
  <c r="B53" i="8"/>
  <c r="E51" i="8"/>
  <c r="D51" i="8"/>
  <c r="C51" i="8"/>
  <c r="B51" i="8"/>
  <c r="B52" i="8" s="1"/>
  <c r="B32" i="8"/>
  <c r="E30" i="8"/>
  <c r="D30" i="8"/>
  <c r="C30" i="8"/>
  <c r="B30" i="8"/>
  <c r="B31" i="8" s="1"/>
  <c r="G120" i="2"/>
  <c r="F112" i="2"/>
  <c r="F110" i="2"/>
  <c r="F108" i="2"/>
  <c r="G76" i="2" l="1"/>
  <c r="H60" i="2"/>
  <c r="K20" i="7" l="1"/>
  <c r="B87" i="2"/>
  <c r="G38" i="2"/>
  <c r="E38" i="2"/>
  <c r="N23" i="7"/>
  <c r="L30" i="7"/>
  <c r="B45" i="2"/>
  <c r="B68" i="2"/>
  <c r="B30" i="2" l="1"/>
  <c r="B42" i="1"/>
  <c r="B21" i="1"/>
  <c r="C46" i="4"/>
  <c r="B57" i="3" s="1"/>
  <c r="C45" i="4"/>
  <c r="C19" i="4"/>
  <c r="C120" i="3"/>
  <c r="B116" i="3"/>
  <c r="D100" i="3" s="1"/>
  <c r="F97" i="3"/>
  <c r="D97" i="3"/>
  <c r="F95" i="3"/>
  <c r="D95" i="3"/>
  <c r="B87" i="3"/>
  <c r="B81" i="3"/>
  <c r="B83" i="3" s="1"/>
  <c r="B80" i="3"/>
  <c r="B79" i="3"/>
  <c r="C76" i="3"/>
  <c r="C56" i="3"/>
  <c r="B55" i="3"/>
  <c r="D48" i="3"/>
  <c r="G38" i="3" s="1"/>
  <c r="F42" i="3"/>
  <c r="D42" i="3"/>
  <c r="I39" i="3" s="1"/>
  <c r="F44" i="3"/>
  <c r="C120" i="2"/>
  <c r="B116" i="2"/>
  <c r="D100" i="2" s="1"/>
  <c r="B98" i="2"/>
  <c r="F95" i="2"/>
  <c r="D95" i="2"/>
  <c r="F97" i="2"/>
  <c r="B81" i="2"/>
  <c r="B83" i="2" s="1"/>
  <c r="B80" i="2"/>
  <c r="B79" i="2"/>
  <c r="C76" i="2"/>
  <c r="C56" i="2"/>
  <c r="B55" i="2"/>
  <c r="D48" i="2"/>
  <c r="F42" i="2"/>
  <c r="D42" i="2"/>
  <c r="F44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101" i="3" l="1"/>
  <c r="I92" i="3"/>
  <c r="F98" i="3"/>
  <c r="F45" i="3"/>
  <c r="G40" i="3" s="1"/>
  <c r="D25" i="4"/>
  <c r="D31" i="4"/>
  <c r="D36" i="4"/>
  <c r="D41" i="4"/>
  <c r="C49" i="4"/>
  <c r="D24" i="4"/>
  <c r="D35" i="4"/>
  <c r="D40" i="4"/>
  <c r="D27" i="4"/>
  <c r="D32" i="4"/>
  <c r="D37" i="4"/>
  <c r="D43" i="4"/>
  <c r="D49" i="4"/>
  <c r="B57" i="2"/>
  <c r="B69" i="2" s="1"/>
  <c r="D29" i="4"/>
  <c r="D28" i="4"/>
  <c r="D33" i="4"/>
  <c r="D39" i="4"/>
  <c r="D101" i="2"/>
  <c r="G91" i="2" s="1"/>
  <c r="I92" i="2"/>
  <c r="D97" i="2"/>
  <c r="D98" i="2" s="1"/>
  <c r="I39" i="2"/>
  <c r="F45" i="2"/>
  <c r="F46" i="2" s="1"/>
  <c r="D49" i="2"/>
  <c r="D44" i="2"/>
  <c r="D45" i="2" s="1"/>
  <c r="D46" i="2" s="1"/>
  <c r="F99" i="3"/>
  <c r="D98" i="3"/>
  <c r="E94" i="3" s="1"/>
  <c r="F98" i="2"/>
  <c r="G94" i="2"/>
  <c r="G94" i="3"/>
  <c r="D44" i="3"/>
  <c r="D45" i="3" s="1"/>
  <c r="E39" i="3" s="1"/>
  <c r="D49" i="3"/>
  <c r="C50" i="4"/>
  <c r="G92" i="3"/>
  <c r="D26" i="4"/>
  <c r="D30" i="4"/>
  <c r="D34" i="4"/>
  <c r="D38" i="4"/>
  <c r="D42" i="4"/>
  <c r="B49" i="4"/>
  <c r="D50" i="4"/>
  <c r="G93" i="3" l="1"/>
  <c r="D102" i="3"/>
  <c r="G41" i="3"/>
  <c r="G39" i="3"/>
  <c r="G95" i="3"/>
  <c r="E92" i="3"/>
  <c r="F46" i="3"/>
  <c r="D102" i="2"/>
  <c r="E91" i="2"/>
  <c r="G40" i="2"/>
  <c r="G39" i="2"/>
  <c r="G41" i="2"/>
  <c r="E94" i="2"/>
  <c r="F99" i="2"/>
  <c r="G93" i="2"/>
  <c r="D46" i="3"/>
  <c r="E38" i="3"/>
  <c r="G92" i="2"/>
  <c r="D99" i="3"/>
  <c r="E93" i="3"/>
  <c r="E40" i="2"/>
  <c r="E40" i="3"/>
  <c r="E41" i="3"/>
  <c r="E41" i="2"/>
  <c r="D99" i="2"/>
  <c r="E93" i="2"/>
  <c r="E92" i="2"/>
  <c r="E39" i="2"/>
  <c r="D103" i="3" l="1"/>
  <c r="E108" i="3" s="1"/>
  <c r="F108" i="3" s="1"/>
  <c r="E95" i="3"/>
  <c r="G42" i="3"/>
  <c r="D105" i="3"/>
  <c r="E95" i="2"/>
  <c r="G42" i="2"/>
  <c r="D105" i="2"/>
  <c r="G95" i="2"/>
  <c r="D103" i="2"/>
  <c r="D50" i="3"/>
  <c r="E42" i="3"/>
  <c r="D52" i="3"/>
  <c r="D104" i="2"/>
  <c r="D50" i="2"/>
  <c r="G60" i="2" s="1"/>
  <c r="E42" i="2"/>
  <c r="D52" i="2"/>
  <c r="E112" i="3" l="1"/>
  <c r="F112" i="3" s="1"/>
  <c r="E109" i="3"/>
  <c r="F109" i="3" s="1"/>
  <c r="E111" i="3"/>
  <c r="F111" i="3" s="1"/>
  <c r="E110" i="3"/>
  <c r="F110" i="3" s="1"/>
  <c r="E113" i="3"/>
  <c r="F113" i="3" s="1"/>
  <c r="D104" i="3"/>
  <c r="E113" i="2"/>
  <c r="F113" i="2" s="1"/>
  <c r="E108" i="2"/>
  <c r="E110" i="2"/>
  <c r="E109" i="2"/>
  <c r="F109" i="2" s="1"/>
  <c r="E111" i="2"/>
  <c r="F111" i="2" s="1"/>
  <c r="E112" i="2"/>
  <c r="G70" i="3"/>
  <c r="H70" i="3" s="1"/>
  <c r="G67" i="3"/>
  <c r="H67" i="3" s="1"/>
  <c r="G65" i="3"/>
  <c r="H65" i="3" s="1"/>
  <c r="G63" i="3"/>
  <c r="H63" i="3" s="1"/>
  <c r="G61" i="3"/>
  <c r="H61" i="3" s="1"/>
  <c r="G68" i="3"/>
  <c r="G71" i="3"/>
  <c r="H71" i="3" s="1"/>
  <c r="G69" i="3"/>
  <c r="H69" i="3" s="1"/>
  <c r="G66" i="3"/>
  <c r="H66" i="3" s="1"/>
  <c r="G64" i="3"/>
  <c r="G62" i="3"/>
  <c r="H62" i="3" s="1"/>
  <c r="G60" i="3"/>
  <c r="D51" i="3"/>
  <c r="G71" i="2"/>
  <c r="H71" i="2" s="1"/>
  <c r="G69" i="2"/>
  <c r="H69" i="2" s="1"/>
  <c r="G66" i="2"/>
  <c r="H66" i="2" s="1"/>
  <c r="G67" i="2"/>
  <c r="H67" i="2" s="1"/>
  <c r="G68" i="2"/>
  <c r="H68" i="2" s="1"/>
  <c r="G64" i="2"/>
  <c r="H64" i="2" s="1"/>
  <c r="G62" i="2"/>
  <c r="H62" i="2" s="1"/>
  <c r="D51" i="2"/>
  <c r="G70" i="2"/>
  <c r="H70" i="2" s="1"/>
  <c r="G65" i="2"/>
  <c r="H65" i="2" s="1"/>
  <c r="G63" i="2"/>
  <c r="H63" i="2" s="1"/>
  <c r="G61" i="2"/>
  <c r="H61" i="2" s="1"/>
  <c r="F117" i="3" l="1"/>
  <c r="F115" i="3"/>
  <c r="G120" i="3" s="1"/>
  <c r="F117" i="2"/>
  <c r="F115" i="2"/>
  <c r="H72" i="3"/>
  <c r="H74" i="3"/>
  <c r="H74" i="2"/>
  <c r="H72" i="2"/>
  <c r="F116" i="3" l="1"/>
  <c r="F116" i="2"/>
  <c r="H73" i="3"/>
  <c r="G76" i="3"/>
  <c r="H73" i="2"/>
</calcChain>
</file>

<file path=xl/sharedStrings.xml><?xml version="1.0" encoding="utf-8"?>
<sst xmlns="http://schemas.openxmlformats.org/spreadsheetml/2006/main" count="448" uniqueCount="132">
  <si>
    <t>HPLC System Suitability Report</t>
  </si>
  <si>
    <t>Analysis Data</t>
  </si>
  <si>
    <t>Assay</t>
  </si>
  <si>
    <t>Sample(s)</t>
  </si>
  <si>
    <t>Reference Substance:</t>
  </si>
  <si>
    <t>DUO - ARTEPEP TABLTES</t>
  </si>
  <si>
    <t>% age Purity:</t>
  </si>
  <si>
    <t>NDQD201507015</t>
  </si>
  <si>
    <t>Weight (mg):</t>
  </si>
  <si>
    <t>Dihydroartemisinin , Piperaquine Phosphate</t>
  </si>
  <si>
    <t>Standard Conc (mg/mL):</t>
  </si>
  <si>
    <t>Dihydroartemisinin 40 mg, Piperaquine Phosphate 320 mg</t>
  </si>
  <si>
    <t>2015-07-09 14:52:42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</si>
  <si>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</si>
  <si>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</si>
  <si>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</si>
  <si>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</si>
  <si>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</si>
  <si>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</si>
  <si>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</si>
  <si>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</si>
  <si>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</si>
  <si>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</si>
  <si>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</si>
  <si>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</si>
  <si>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</si>
  <si>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</si>
  <si>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</si>
  <si>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</si>
  <si>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</si>
  <si>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</si>
  <si>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</si>
  <si>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</si>
  <si>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</si>
  <si>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</si>
  <si>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</si>
  <si>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</si>
  <si>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</si>
  <si>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</si>
  <si>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</si>
  <si>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</si>
  <si>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</si>
  <si>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</si>
  <si>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</si>
  <si>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</si>
  <si>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</si>
  <si>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</si>
  <si>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</si>
  <si>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</si>
  <si>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</si>
  <si>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</si>
  <si>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</si>
  <si>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</si>
  <si>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</si>
  <si>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</si>
  <si>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</si>
  <si>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</si>
  <si>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</si>
  <si>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</si>
  <si>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</si>
  <si>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</si>
  <si>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</si>
  <si>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</si>
  <si>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</si>
  <si>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</si>
  <si>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</si>
  <si>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</si>
  <si>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</si>
  <si>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</si>
  <si>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</si>
  <si>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</si>
  <si>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</si>
  <si>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</si>
  <si>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</si>
  <si>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</si>
  <si>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</si>
  <si>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</si>
  <si>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</si>
  <si>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</si>
  <si>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</si>
  <si>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Tablet/Capsule contains</t>
  </si>
  <si>
    <t>Average Tablet/Capsule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</si>
  <si>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</si>
  <si>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</si>
  <si>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</si>
  <si>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</si>
  <si>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</si>
  <si>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</si>
  <si>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</si>
  <si>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</si>
  <si>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</si>
  <si>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</si>
  <si>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</si>
  <si>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</si>
  <si>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</si>
  <si>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</si>
  <si>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</si>
  <si>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</si>
  <si>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</si>
  <si>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</si>
  <si>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</si>
  <si>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</si>
  <si>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</si>
  <si>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</si>
  <si>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</si>
  <si>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</si>
  <si>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</si>
  <si>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</si>
  <si>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</si>
  <si>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</si>
  <si>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</si>
  <si>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</si>
  <si>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</si>
  <si>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</si>
  <si>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</si>
  <si>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</si>
  <si>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</si>
  <si>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</si>
  <si>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Uniformity of Weight Test Report</t>
  </si>
  <si>
    <t>Uniformity of weight</t>
  </si>
  <si>
    <t>Tablet weight (mg)</t>
  </si>
  <si>
    <t>% Deviation</t>
  </si>
  <si>
    <t>Total</t>
  </si>
  <si>
    <t>Average</t>
  </si>
  <si>
    <t>% Deviation from mean</t>
  </si>
  <si>
    <t>Dihydroartemesinin</t>
  </si>
  <si>
    <t>Bugigi</t>
  </si>
  <si>
    <t>17-8-2015</t>
  </si>
  <si>
    <t>NDQD201507016</t>
  </si>
  <si>
    <t>Piperaquine Phosphate</t>
  </si>
  <si>
    <t>Piperaquine Phosphate 320 mg</t>
  </si>
  <si>
    <t>Piperaquine 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</si>
</sst>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dd\-mmm\-yyyy"/>
    <numFmt numFmtId="167" formatCode="dd\-mmm\-yy"/>
    <numFmt numFmtId="168" formatCode="0.0000\ &quot;mg&quot;"/>
    <numFmt numFmtId="169" formatCode="0.000"/>
    <numFmt numFmtId="170" formatCode="0.0000"/>
    <numFmt numFmtId="171" formatCode="0.0\ &quot;mg&quot;"/>
    <numFmt numFmtId="172" formatCode="[$-409]d/mmm/yy;@"/>
  </numFmts>
  <fonts count="31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name val="Arial"/>
      <family val="2"/>
    </font>
    <font>
      <sz val="11"/>
      <name val="Book Antiqua"/>
      <family val="1"/>
    </font>
    <font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b/>
      <sz val="20"/>
      <color rgb="FF000000"/>
      <name val="Book Antiqua"/>
      <family val="1"/>
    </font>
    <font>
      <b/>
      <sz val="14"/>
      <name val="Book Antiqua"/>
      <family val="1"/>
    </font>
    <font>
      <sz val="14"/>
      <color rgb="FF000000"/>
      <name val="Book Antiqua"/>
      <family val="1"/>
    </font>
    <font>
      <sz val="10"/>
      <color rgb="FF000000"/>
      <name val="Book Antiqua"/>
      <family val="1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92D050"/>
        <bgColor indexed="64"/>
      </patternFill>
    </fill>
  </fills>
  <borders count="6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3" fillId="2" borderId="0"/>
  </cellStyleXfs>
  <cellXfs count="52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7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 applyAlignment="1" applyProtection="1">
      <alignment horizontal="left"/>
      <protection locked="0"/>
    </xf>
    <xf numFmtId="0" fontId="10" fillId="2" borderId="0" xfId="0" applyFont="1" applyFill="1"/>
    <xf numFmtId="0" fontId="10" fillId="3" borderId="0" xfId="0" applyFont="1" applyFill="1" applyAlignment="1" applyProtection="1">
      <alignment horizontal="left"/>
      <protection locked="0"/>
    </xf>
    <xf numFmtId="0" fontId="7" fillId="3" borderId="0" xfId="0" applyFont="1" applyFill="1" applyProtection="1">
      <protection locked="0"/>
    </xf>
    <xf numFmtId="166" fontId="10" fillId="3" borderId="0" xfId="0" applyNumberFormat="1" applyFont="1" applyFill="1" applyAlignment="1" applyProtection="1">
      <alignment horizontal="center"/>
      <protection locked="0"/>
    </xf>
    <xf numFmtId="167" fontId="7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9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center"/>
    </xf>
    <xf numFmtId="0" fontId="12" fillId="2" borderId="0" xfId="0" applyFont="1" applyFill="1"/>
    <xf numFmtId="0" fontId="13" fillId="2" borderId="0" xfId="0" applyFont="1" applyFill="1"/>
    <xf numFmtId="2" fontId="9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vertical="center" wrapText="1"/>
    </xf>
    <xf numFmtId="0" fontId="14" fillId="2" borderId="0" xfId="0" applyFont="1" applyFill="1"/>
    <xf numFmtId="2" fontId="8" fillId="2" borderId="0" xfId="0" applyNumberFormat="1" applyFont="1" applyFill="1" applyAlignment="1">
      <alignment horizontal="center"/>
    </xf>
    <xf numFmtId="0" fontId="15" fillId="2" borderId="0" xfId="0" applyFont="1" applyFill="1" applyAlignment="1">
      <alignment horizontal="left" vertical="center" wrapText="1"/>
    </xf>
    <xf numFmtId="168" fontId="8" fillId="2" borderId="0" xfId="0" applyNumberFormat="1" applyFont="1" applyFill="1" applyAlignment="1">
      <alignment horizontal="center"/>
    </xf>
    <xf numFmtId="0" fontId="7" fillId="2" borderId="12" xfId="0" applyFont="1" applyFill="1" applyBorder="1" applyAlignment="1">
      <alignment horizontal="right"/>
    </xf>
    <xf numFmtId="0" fontId="9" fillId="3" borderId="13" xfId="0" applyFont="1" applyFill="1" applyBorder="1" applyAlignment="1" applyProtection="1">
      <alignment horizontal="center"/>
      <protection locked="0"/>
    </xf>
    <xf numFmtId="0" fontId="7" fillId="2" borderId="14" xfId="0" applyFont="1" applyFill="1" applyBorder="1" applyAlignment="1">
      <alignment horizontal="right"/>
    </xf>
    <xf numFmtId="0" fontId="9" fillId="3" borderId="15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9" fillId="3" borderId="21" xfId="0" applyFont="1" applyFill="1" applyBorder="1" applyAlignment="1" applyProtection="1">
      <alignment horizontal="center"/>
      <protection locked="0"/>
    </xf>
    <xf numFmtId="169" fontId="7" fillId="2" borderId="17" xfId="0" applyNumberFormat="1" applyFont="1" applyFill="1" applyBorder="1" applyAlignment="1">
      <alignment horizontal="center"/>
    </xf>
    <xf numFmtId="169" fontId="7" fillId="2" borderId="22" xfId="0" applyNumberFormat="1" applyFont="1" applyFill="1" applyBorder="1" applyAlignment="1">
      <alignment horizontal="center"/>
    </xf>
    <xf numFmtId="0" fontId="14" fillId="2" borderId="23" xfId="0" applyFont="1" applyFill="1" applyBorder="1"/>
    <xf numFmtId="0" fontId="7" fillId="2" borderId="15" xfId="0" applyFont="1" applyFill="1" applyBorder="1" applyAlignment="1">
      <alignment horizontal="center"/>
    </xf>
    <xf numFmtId="0" fontId="9" fillId="3" borderId="14" xfId="0" applyFont="1" applyFill="1" applyBorder="1" applyAlignment="1" applyProtection="1">
      <alignment horizontal="center"/>
      <protection locked="0"/>
    </xf>
    <xf numFmtId="169" fontId="7" fillId="2" borderId="24" xfId="0" applyNumberFormat="1" applyFont="1" applyFill="1" applyBorder="1" applyAlignment="1">
      <alignment horizontal="center"/>
    </xf>
    <xf numFmtId="169" fontId="7" fillId="2" borderId="25" xfId="0" applyNumberFormat="1" applyFont="1" applyFill="1" applyBorder="1" applyAlignment="1">
      <alignment horizontal="center"/>
    </xf>
    <xf numFmtId="0" fontId="7" fillId="2" borderId="0" xfId="0" applyFont="1" applyFill="1"/>
    <xf numFmtId="0" fontId="7" fillId="2" borderId="26" xfId="0" applyFont="1" applyFill="1" applyBorder="1" applyAlignment="1">
      <alignment horizontal="center"/>
    </xf>
    <xf numFmtId="0" fontId="9" fillId="3" borderId="27" xfId="0" applyFont="1" applyFill="1" applyBorder="1" applyAlignment="1" applyProtection="1">
      <alignment horizontal="center"/>
      <protection locked="0"/>
    </xf>
    <xf numFmtId="169" fontId="7" fillId="2" borderId="28" xfId="0" applyNumberFormat="1" applyFont="1" applyFill="1" applyBorder="1" applyAlignment="1">
      <alignment horizontal="center"/>
    </xf>
    <xf numFmtId="169" fontId="7" fillId="2" borderId="29" xfId="0" applyNumberFormat="1" applyFont="1" applyFill="1" applyBorder="1" applyAlignment="1">
      <alignment horizontal="center"/>
    </xf>
    <xf numFmtId="0" fontId="7" fillId="2" borderId="30" xfId="0" applyFont="1" applyFill="1" applyBorder="1"/>
    <xf numFmtId="0" fontId="7" fillId="2" borderId="15" xfId="0" applyFont="1" applyFill="1" applyBorder="1" applyAlignment="1">
      <alignment horizontal="right"/>
    </xf>
    <xf numFmtId="1" fontId="8" fillId="6" borderId="31" xfId="0" applyNumberFormat="1" applyFont="1" applyFill="1" applyBorder="1" applyAlignment="1">
      <alignment horizontal="center"/>
    </xf>
    <xf numFmtId="169" fontId="8" fillId="6" borderId="32" xfId="0" applyNumberFormat="1" applyFont="1" applyFill="1" applyBorder="1" applyAlignment="1">
      <alignment horizontal="center"/>
    </xf>
    <xf numFmtId="169" fontId="8" fillId="6" borderId="33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7" fillId="2" borderId="34" xfId="0" applyFont="1" applyFill="1" applyBorder="1" applyAlignment="1">
      <alignment horizontal="right"/>
    </xf>
    <xf numFmtId="0" fontId="9" fillId="3" borderId="35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>
      <alignment horizontal="right"/>
    </xf>
    <xf numFmtId="2" fontId="7" fillId="6" borderId="36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15" xfId="0" applyFont="1" applyFill="1" applyBorder="1" applyAlignment="1">
      <alignment horizontal="center"/>
    </xf>
    <xf numFmtId="2" fontId="7" fillId="7" borderId="36" xfId="0" applyNumberFormat="1" applyFont="1" applyFill="1" applyBorder="1" applyAlignment="1">
      <alignment horizontal="center"/>
    </xf>
    <xf numFmtId="2" fontId="7" fillId="2" borderId="0" xfId="0" applyNumberFormat="1" applyFont="1" applyFill="1" applyAlignment="1">
      <alignment horizontal="center"/>
    </xf>
    <xf numFmtId="170" fontId="7" fillId="6" borderId="36" xfId="0" applyNumberFormat="1" applyFont="1" applyFill="1" applyBorder="1" applyAlignment="1">
      <alignment horizontal="center"/>
    </xf>
    <xf numFmtId="170" fontId="7" fillId="2" borderId="0" xfId="0" applyNumberFormat="1" applyFont="1" applyFill="1" applyAlignment="1">
      <alignment horizontal="center"/>
    </xf>
    <xf numFmtId="170" fontId="7" fillId="6" borderId="37" xfId="0" applyNumberFormat="1" applyFont="1" applyFill="1" applyBorder="1" applyAlignment="1">
      <alignment horizontal="center"/>
    </xf>
    <xf numFmtId="0" fontId="7" fillId="2" borderId="38" xfId="0" applyFont="1" applyFill="1" applyBorder="1" applyAlignment="1">
      <alignment horizontal="right"/>
    </xf>
    <xf numFmtId="170" fontId="9" fillId="3" borderId="36" xfId="0" applyNumberFormat="1" applyFont="1" applyFill="1" applyBorder="1" applyAlignment="1" applyProtection="1">
      <alignment horizontal="center"/>
      <protection locked="0"/>
    </xf>
    <xf numFmtId="170" fontId="7" fillId="2" borderId="0" xfId="0" applyNumberFormat="1" applyFont="1" applyFill="1"/>
    <xf numFmtId="0" fontId="7" fillId="2" borderId="21" xfId="0" applyFont="1" applyFill="1" applyBorder="1" applyAlignment="1">
      <alignment horizontal="right"/>
    </xf>
    <xf numFmtId="1" fontId="7" fillId="2" borderId="0" xfId="0" applyNumberFormat="1" applyFont="1" applyFill="1" applyAlignment="1">
      <alignment horizontal="center"/>
    </xf>
    <xf numFmtId="0" fontId="7" fillId="2" borderId="30" xfId="0" applyFont="1" applyFill="1" applyBorder="1" applyAlignment="1">
      <alignment horizontal="right"/>
    </xf>
    <xf numFmtId="2" fontId="7" fillId="6" borderId="30" xfId="0" applyNumberFormat="1" applyFont="1" applyFill="1" applyBorder="1" applyAlignment="1">
      <alignment horizontal="center"/>
    </xf>
    <xf numFmtId="169" fontId="8" fillId="7" borderId="23" xfId="0" applyNumberFormat="1" applyFont="1" applyFill="1" applyBorder="1" applyAlignment="1">
      <alignment horizontal="center"/>
    </xf>
    <xf numFmtId="169" fontId="7" fillId="2" borderId="0" xfId="0" applyNumberFormat="1" applyFont="1" applyFill="1" applyAlignment="1">
      <alignment horizontal="center"/>
    </xf>
    <xf numFmtId="10" fontId="7" fillId="6" borderId="36" xfId="0" applyNumberFormat="1" applyFont="1" applyFill="1" applyBorder="1" applyAlignment="1">
      <alignment horizontal="center"/>
    </xf>
    <xf numFmtId="0" fontId="7" fillId="2" borderId="39" xfId="0" applyFont="1" applyFill="1" applyBorder="1" applyAlignment="1">
      <alignment horizontal="right"/>
    </xf>
    <xf numFmtId="0" fontId="7" fillId="7" borderId="30" xfId="0" applyFont="1" applyFill="1" applyBorder="1" applyAlignment="1">
      <alignment horizontal="center"/>
    </xf>
    <xf numFmtId="0" fontId="3" fillId="2" borderId="0" xfId="0" applyFont="1" applyFill="1"/>
    <xf numFmtId="0" fontId="8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171" fontId="9" fillId="3" borderId="0" xfId="0" applyNumberFormat="1" applyFont="1" applyFill="1" applyAlignment="1" applyProtection="1">
      <alignment horizontal="center"/>
      <protection locked="0"/>
    </xf>
    <xf numFmtId="0" fontId="7" fillId="2" borderId="0" xfId="0" applyFont="1" applyFill="1" applyAlignment="1">
      <alignment horizontal="center"/>
    </xf>
    <xf numFmtId="2" fontId="8" fillId="2" borderId="23" xfId="0" applyNumberFormat="1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9" fillId="3" borderId="12" xfId="0" applyFont="1" applyFill="1" applyBorder="1" applyAlignment="1" applyProtection="1">
      <alignment horizontal="center"/>
      <protection locked="0"/>
    </xf>
    <xf numFmtId="10" fontId="7" fillId="2" borderId="23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/>
    </xf>
    <xf numFmtId="10" fontId="7" fillId="2" borderId="40" xfId="0" applyNumberFormat="1" applyFont="1" applyFill="1" applyBorder="1" applyAlignment="1">
      <alignment horizontal="center" vertical="center"/>
    </xf>
    <xf numFmtId="1" fontId="9" fillId="3" borderId="14" xfId="0" applyNumberFormat="1" applyFont="1" applyFill="1" applyBorder="1" applyAlignment="1" applyProtection="1">
      <alignment horizontal="center"/>
      <protection locked="0"/>
    </xf>
    <xf numFmtId="0" fontId="7" fillId="2" borderId="30" xfId="0" applyFont="1" applyFill="1" applyBorder="1" applyAlignment="1">
      <alignment horizontal="center"/>
    </xf>
    <xf numFmtId="0" fontId="9" fillId="3" borderId="39" xfId="0" applyFont="1" applyFill="1" applyBorder="1" applyAlignment="1" applyProtection="1">
      <alignment horizontal="center"/>
      <protection locked="0"/>
    </xf>
    <xf numFmtId="10" fontId="7" fillId="2" borderId="13" xfId="0" applyNumberFormat="1" applyFont="1" applyFill="1" applyBorder="1" applyAlignment="1">
      <alignment horizontal="center" vertical="center"/>
    </xf>
    <xf numFmtId="10" fontId="7" fillId="2" borderId="15" xfId="0" applyNumberFormat="1" applyFont="1" applyFill="1" applyBorder="1" applyAlignment="1">
      <alignment horizontal="center" vertical="center"/>
    </xf>
    <xf numFmtId="10" fontId="7" fillId="2" borderId="41" xfId="0" applyNumberFormat="1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/>
    </xf>
    <xf numFmtId="2" fontId="10" fillId="2" borderId="41" xfId="0" applyNumberFormat="1" applyFont="1" applyFill="1" applyBorder="1" applyAlignment="1">
      <alignment horizontal="center"/>
    </xf>
    <xf numFmtId="10" fontId="7" fillId="2" borderId="30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42" xfId="0" applyFont="1" applyFill="1" applyBorder="1" applyAlignment="1">
      <alignment horizontal="right"/>
    </xf>
    <xf numFmtId="10" fontId="9" fillId="7" borderId="26" xfId="0" applyNumberFormat="1" applyFont="1" applyFill="1" applyBorder="1" applyAlignment="1">
      <alignment horizontal="center"/>
    </xf>
    <xf numFmtId="0" fontId="7" fillId="2" borderId="36" xfId="0" applyFont="1" applyFill="1" applyBorder="1" applyAlignment="1">
      <alignment horizontal="right"/>
    </xf>
    <xf numFmtId="2" fontId="7" fillId="2" borderId="0" xfId="0" applyNumberFormat="1" applyFont="1" applyFill="1" applyAlignment="1">
      <alignment horizontal="center"/>
    </xf>
    <xf numFmtId="0" fontId="7" fillId="2" borderId="37" xfId="0" applyFont="1" applyFill="1" applyBorder="1" applyAlignment="1">
      <alignment horizontal="right"/>
    </xf>
    <xf numFmtId="0" fontId="9" fillId="7" borderId="43" xfId="0" applyFont="1" applyFill="1" applyBorder="1" applyAlignment="1">
      <alignment horizontal="center"/>
    </xf>
    <xf numFmtId="0" fontId="7" fillId="2" borderId="0" xfId="0" applyFont="1" applyFill="1" applyAlignment="1">
      <alignment horizontal="right"/>
    </xf>
    <xf numFmtId="0" fontId="7" fillId="2" borderId="0" xfId="0" applyFont="1" applyFill="1"/>
    <xf numFmtId="165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3" borderId="0" xfId="0" applyFont="1" applyFill="1" applyAlignment="1" applyProtection="1">
      <alignment horizontal="center"/>
      <protection locked="0"/>
    </xf>
    <xf numFmtId="0" fontId="8" fillId="2" borderId="44" xfId="0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7" fillId="2" borderId="4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169" fontId="9" fillId="3" borderId="27" xfId="0" applyNumberFormat="1" applyFont="1" applyFill="1" applyBorder="1" applyAlignment="1" applyProtection="1">
      <alignment horizontal="center"/>
      <protection locked="0"/>
    </xf>
    <xf numFmtId="0" fontId="7" fillId="2" borderId="0" xfId="0" applyFont="1" applyFill="1" applyAlignment="1">
      <alignment horizontal="right"/>
    </xf>
    <xf numFmtId="1" fontId="8" fillId="6" borderId="46" xfId="0" applyNumberFormat="1" applyFont="1" applyFill="1" applyBorder="1" applyAlignment="1">
      <alignment horizontal="center"/>
    </xf>
    <xf numFmtId="1" fontId="8" fillId="6" borderId="47" xfId="0" applyNumberFormat="1" applyFont="1" applyFill="1" applyBorder="1" applyAlignment="1">
      <alignment horizontal="center"/>
    </xf>
    <xf numFmtId="169" fontId="8" fillId="6" borderId="30" xfId="0" applyNumberFormat="1" applyFont="1" applyFill="1" applyBorder="1" applyAlignment="1">
      <alignment horizontal="center"/>
    </xf>
    <xf numFmtId="0" fontId="7" fillId="2" borderId="48" xfId="0" applyFont="1" applyFill="1" applyBorder="1" applyAlignment="1">
      <alignment horizontal="right"/>
    </xf>
    <xf numFmtId="0" fontId="9" fillId="3" borderId="49" xfId="0" applyFont="1" applyFill="1" applyBorder="1" applyAlignment="1" applyProtection="1">
      <alignment horizontal="center"/>
      <protection locked="0"/>
    </xf>
    <xf numFmtId="0" fontId="7" fillId="2" borderId="16" xfId="0" applyFont="1" applyFill="1" applyBorder="1" applyAlignment="1">
      <alignment horizontal="right"/>
    </xf>
    <xf numFmtId="2" fontId="7" fillId="6" borderId="18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2" fontId="7" fillId="7" borderId="18" xfId="0" applyNumberFormat="1" applyFont="1" applyFill="1" applyBorder="1" applyAlignment="1">
      <alignment horizontal="center"/>
    </xf>
    <xf numFmtId="170" fontId="7" fillId="6" borderId="18" xfId="0" applyNumberFormat="1" applyFont="1" applyFill="1" applyBorder="1" applyAlignment="1">
      <alignment horizontal="center"/>
    </xf>
    <xf numFmtId="0" fontId="2" fillId="2" borderId="0" xfId="0" applyFont="1" applyFill="1"/>
    <xf numFmtId="170" fontId="7" fillId="7" borderId="18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7" fillId="2" borderId="50" xfId="0" applyFont="1" applyFill="1" applyBorder="1" applyAlignment="1">
      <alignment horizontal="right"/>
    </xf>
    <xf numFmtId="2" fontId="7" fillId="7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 wrapText="1"/>
    </xf>
    <xf numFmtId="0" fontId="7" fillId="2" borderId="35" xfId="0" applyFont="1" applyFill="1" applyBorder="1" applyAlignment="1">
      <alignment horizontal="right"/>
    </xf>
    <xf numFmtId="169" fontId="8" fillId="7" borderId="35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7" fillId="2" borderId="0" xfId="0" applyNumberFormat="1" applyFont="1" applyFill="1" applyAlignment="1">
      <alignment horizontal="center"/>
    </xf>
    <xf numFmtId="10" fontId="8" fillId="6" borderId="36" xfId="0" applyNumberFormat="1" applyFont="1" applyFill="1" applyBorder="1" applyAlignment="1">
      <alignment horizontal="center"/>
    </xf>
    <xf numFmtId="0" fontId="8" fillId="7" borderId="37" xfId="0" applyFont="1" applyFill="1" applyBorder="1" applyAlignment="1">
      <alignment horizontal="center"/>
    </xf>
    <xf numFmtId="0" fontId="8" fillId="2" borderId="44" xfId="0" applyFont="1" applyFill="1" applyBorder="1" applyAlignment="1">
      <alignment horizontal="center"/>
    </xf>
    <xf numFmtId="0" fontId="8" fillId="2" borderId="51" xfId="0" applyFont="1" applyFill="1" applyBorder="1" applyAlignment="1">
      <alignment horizontal="center"/>
    </xf>
    <xf numFmtId="0" fontId="8" fillId="2" borderId="5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 wrapText="1"/>
    </xf>
    <xf numFmtId="0" fontId="7" fillId="2" borderId="14" xfId="0" applyFont="1" applyFill="1" applyBorder="1" applyAlignment="1">
      <alignment horizontal="center"/>
    </xf>
    <xf numFmtId="1" fontId="9" fillId="3" borderId="24" xfId="0" applyNumberFormat="1" applyFont="1" applyFill="1" applyBorder="1" applyAlignment="1" applyProtection="1">
      <alignment horizontal="center"/>
      <protection locked="0"/>
    </xf>
    <xf numFmtId="10" fontId="7" fillId="2" borderId="22" xfId="0" applyNumberFormat="1" applyFont="1" applyFill="1" applyBorder="1" applyAlignment="1">
      <alignment horizontal="center"/>
    </xf>
    <xf numFmtId="10" fontId="7" fillId="2" borderId="25" xfId="0" applyNumberFormat="1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1" fontId="9" fillId="3" borderId="28" xfId="0" applyNumberFormat="1" applyFont="1" applyFill="1" applyBorder="1" applyAlignment="1" applyProtection="1">
      <alignment horizontal="center"/>
      <protection locked="0"/>
    </xf>
    <xf numFmtId="10" fontId="7" fillId="2" borderId="29" xfId="0" applyNumberFormat="1" applyFont="1" applyFill="1" applyBorder="1" applyAlignment="1">
      <alignment horizontal="center"/>
    </xf>
    <xf numFmtId="2" fontId="7" fillId="2" borderId="15" xfId="0" applyNumberFormat="1" applyFont="1" applyFill="1" applyBorder="1" applyAlignment="1">
      <alignment horizontal="center"/>
    </xf>
    <xf numFmtId="169" fontId="8" fillId="2" borderId="0" xfId="0" applyNumberFormat="1" applyFont="1" applyFill="1" applyAlignment="1">
      <alignment horizontal="center"/>
    </xf>
    <xf numFmtId="169" fontId="7" fillId="2" borderId="2" xfId="0" applyNumberFormat="1" applyFont="1" applyFill="1" applyBorder="1" applyAlignment="1">
      <alignment horizontal="right"/>
    </xf>
    <xf numFmtId="10" fontId="9" fillId="7" borderId="18" xfId="0" applyNumberFormat="1" applyFont="1" applyFill="1" applyBorder="1" applyAlignment="1">
      <alignment horizontal="center"/>
    </xf>
    <xf numFmtId="0" fontId="7" fillId="2" borderId="14" xfId="0" applyFont="1" applyFill="1" applyBorder="1"/>
    <xf numFmtId="0" fontId="7" fillId="2" borderId="6" xfId="0" applyFont="1" applyFill="1" applyBorder="1"/>
    <xf numFmtId="10" fontId="9" fillId="6" borderId="18" xfId="0" applyNumberFormat="1" applyFont="1" applyFill="1" applyBorder="1" applyAlignment="1">
      <alignment horizontal="center"/>
    </xf>
    <xf numFmtId="0" fontId="7" fillId="2" borderId="39" xfId="0" applyFont="1" applyFill="1" applyBorder="1"/>
    <xf numFmtId="0" fontId="7" fillId="2" borderId="53" xfId="0" applyFont="1" applyFill="1" applyBorder="1" applyAlignment="1">
      <alignment horizontal="center"/>
    </xf>
    <xf numFmtId="0" fontId="7" fillId="2" borderId="54" xfId="0" applyFont="1" applyFill="1" applyBorder="1" applyAlignment="1">
      <alignment horizontal="right"/>
    </xf>
    <xf numFmtId="0" fontId="9" fillId="7" borderId="37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left" vertical="center" wrapText="1"/>
    </xf>
    <xf numFmtId="0" fontId="7" fillId="2" borderId="9" xfId="0" applyFont="1" applyFill="1" applyBorder="1"/>
    <xf numFmtId="0" fontId="7" fillId="2" borderId="10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0" fontId="7" fillId="2" borderId="7" xfId="0" applyFont="1" applyFill="1" applyBorder="1"/>
    <xf numFmtId="0" fontId="7" fillId="2" borderId="7" xfId="0" applyFont="1" applyFill="1" applyBorder="1"/>
    <xf numFmtId="0" fontId="8" fillId="2" borderId="11" xfId="0" applyFont="1" applyFill="1" applyBorder="1"/>
    <xf numFmtId="0" fontId="7" fillId="2" borderId="11" xfId="0" applyFont="1" applyFill="1" applyBorder="1"/>
    <xf numFmtId="0" fontId="15" fillId="2" borderId="0" xfId="0" applyFont="1" applyFill="1" applyAlignment="1">
      <alignment horizontal="right" vertical="center" wrapText="1"/>
    </xf>
    <xf numFmtId="0" fontId="9" fillId="2" borderId="0" xfId="0" applyFont="1" applyFill="1" applyAlignment="1" applyProtection="1">
      <alignment horizontal="right"/>
      <protection locked="0"/>
    </xf>
    <xf numFmtId="170" fontId="8" fillId="2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Protection="1">
      <protection locked="0"/>
    </xf>
    <xf numFmtId="170" fontId="7" fillId="2" borderId="12" xfId="0" applyNumberFormat="1" applyFont="1" applyFill="1" applyBorder="1" applyAlignment="1">
      <alignment horizontal="center"/>
    </xf>
    <xf numFmtId="170" fontId="7" fillId="2" borderId="14" xfId="0" applyNumberFormat="1" applyFont="1" applyFill="1" applyBorder="1" applyAlignment="1">
      <alignment horizontal="center"/>
    </xf>
    <xf numFmtId="170" fontId="7" fillId="2" borderId="23" xfId="0" applyNumberFormat="1" applyFont="1" applyFill="1" applyBorder="1" applyAlignment="1">
      <alignment horizontal="center"/>
    </xf>
    <xf numFmtId="170" fontId="7" fillId="2" borderId="40" xfId="0" applyNumberFormat="1" applyFont="1" applyFill="1" applyBorder="1" applyAlignment="1">
      <alignment horizontal="center"/>
    </xf>
    <xf numFmtId="170" fontId="7" fillId="2" borderId="30" xfId="0" applyNumberFormat="1" applyFont="1" applyFill="1" applyBorder="1" applyAlignment="1">
      <alignment horizontal="center"/>
    </xf>
    <xf numFmtId="10" fontId="9" fillId="6" borderId="55" xfId="0" applyNumberFormat="1" applyFont="1" applyFill="1" applyBorder="1" applyAlignment="1">
      <alignment horizontal="center"/>
    </xf>
    <xf numFmtId="170" fontId="7" fillId="2" borderId="17" xfId="0" applyNumberFormat="1" applyFont="1" applyFill="1" applyBorder="1" applyAlignment="1">
      <alignment horizontal="center"/>
    </xf>
    <xf numFmtId="170" fontId="7" fillId="2" borderId="24" xfId="0" applyNumberFormat="1" applyFont="1" applyFill="1" applyBorder="1" applyAlignment="1">
      <alignment horizontal="center"/>
    </xf>
    <xf numFmtId="170" fontId="7" fillId="2" borderId="28" xfId="0" applyNumberFormat="1" applyFont="1" applyFill="1" applyBorder="1" applyAlignment="1">
      <alignment horizontal="center"/>
    </xf>
    <xf numFmtId="0" fontId="7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 applyAlignment="1" applyProtection="1">
      <alignment horizontal="left"/>
      <protection locked="0"/>
    </xf>
    <xf numFmtId="0" fontId="10" fillId="2" borderId="0" xfId="0" applyFont="1" applyFill="1"/>
    <xf numFmtId="0" fontId="10" fillId="3" borderId="0" xfId="0" applyFont="1" applyFill="1" applyAlignment="1" applyProtection="1">
      <alignment horizontal="left"/>
      <protection locked="0"/>
    </xf>
    <xf numFmtId="0" fontId="7" fillId="3" borderId="0" xfId="0" applyFont="1" applyFill="1" applyProtection="1">
      <protection locked="0"/>
    </xf>
    <xf numFmtId="166" fontId="10" fillId="3" borderId="0" xfId="0" applyNumberFormat="1" applyFont="1" applyFill="1" applyAlignment="1" applyProtection="1">
      <alignment horizontal="center"/>
      <protection locked="0"/>
    </xf>
    <xf numFmtId="167" fontId="7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9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center"/>
    </xf>
    <xf numFmtId="0" fontId="12" fillId="2" borderId="0" xfId="0" applyFont="1" applyFill="1"/>
    <xf numFmtId="0" fontId="13" fillId="2" borderId="0" xfId="0" applyFont="1" applyFill="1"/>
    <xf numFmtId="2" fontId="9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vertical="center" wrapText="1"/>
    </xf>
    <xf numFmtId="0" fontId="14" fillId="2" borderId="0" xfId="0" applyFont="1" applyFill="1"/>
    <xf numFmtId="2" fontId="8" fillId="2" borderId="0" xfId="0" applyNumberFormat="1" applyFont="1" applyFill="1" applyAlignment="1">
      <alignment horizontal="center"/>
    </xf>
    <xf numFmtId="0" fontId="15" fillId="2" borderId="0" xfId="0" applyFont="1" applyFill="1" applyAlignment="1">
      <alignment horizontal="left" vertical="center" wrapText="1"/>
    </xf>
    <xf numFmtId="168" fontId="8" fillId="2" borderId="0" xfId="0" applyNumberFormat="1" applyFont="1" applyFill="1" applyAlignment="1">
      <alignment horizontal="center"/>
    </xf>
    <xf numFmtId="0" fontId="7" fillId="2" borderId="12" xfId="0" applyFont="1" applyFill="1" applyBorder="1" applyAlignment="1">
      <alignment horizontal="right"/>
    </xf>
    <xf numFmtId="0" fontId="9" fillId="3" borderId="13" xfId="0" applyFont="1" applyFill="1" applyBorder="1" applyAlignment="1" applyProtection="1">
      <alignment horizontal="center"/>
      <protection locked="0"/>
    </xf>
    <xf numFmtId="0" fontId="7" fillId="2" borderId="14" xfId="0" applyFont="1" applyFill="1" applyBorder="1" applyAlignment="1">
      <alignment horizontal="right"/>
    </xf>
    <xf numFmtId="0" fontId="9" fillId="3" borderId="15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9" fillId="3" borderId="21" xfId="0" applyFont="1" applyFill="1" applyBorder="1" applyAlignment="1" applyProtection="1">
      <alignment horizontal="center"/>
      <protection locked="0"/>
    </xf>
    <xf numFmtId="169" fontId="7" fillId="2" borderId="17" xfId="0" applyNumberFormat="1" applyFont="1" applyFill="1" applyBorder="1" applyAlignment="1">
      <alignment horizontal="center"/>
    </xf>
    <xf numFmtId="169" fontId="7" fillId="2" borderId="22" xfId="0" applyNumberFormat="1" applyFont="1" applyFill="1" applyBorder="1" applyAlignment="1">
      <alignment horizontal="center"/>
    </xf>
    <xf numFmtId="0" fontId="14" fillId="2" borderId="23" xfId="0" applyFont="1" applyFill="1" applyBorder="1"/>
    <xf numFmtId="0" fontId="7" fillId="2" borderId="15" xfId="0" applyFont="1" applyFill="1" applyBorder="1" applyAlignment="1">
      <alignment horizontal="center"/>
    </xf>
    <xf numFmtId="0" fontId="9" fillId="3" borderId="14" xfId="0" applyFont="1" applyFill="1" applyBorder="1" applyAlignment="1" applyProtection="1">
      <alignment horizontal="center"/>
      <protection locked="0"/>
    </xf>
    <xf numFmtId="169" fontId="7" fillId="2" borderId="24" xfId="0" applyNumberFormat="1" applyFont="1" applyFill="1" applyBorder="1" applyAlignment="1">
      <alignment horizontal="center"/>
    </xf>
    <xf numFmtId="169" fontId="7" fillId="2" borderId="25" xfId="0" applyNumberFormat="1" applyFont="1" applyFill="1" applyBorder="1" applyAlignment="1">
      <alignment horizontal="center"/>
    </xf>
    <xf numFmtId="0" fontId="7" fillId="2" borderId="0" xfId="0" applyFont="1" applyFill="1"/>
    <xf numFmtId="0" fontId="7" fillId="2" borderId="26" xfId="0" applyFont="1" applyFill="1" applyBorder="1" applyAlignment="1">
      <alignment horizontal="center"/>
    </xf>
    <xf numFmtId="0" fontId="9" fillId="3" borderId="27" xfId="0" applyFont="1" applyFill="1" applyBorder="1" applyAlignment="1" applyProtection="1">
      <alignment horizontal="center"/>
      <protection locked="0"/>
    </xf>
    <xf numFmtId="169" fontId="7" fillId="2" borderId="28" xfId="0" applyNumberFormat="1" applyFont="1" applyFill="1" applyBorder="1" applyAlignment="1">
      <alignment horizontal="center"/>
    </xf>
    <xf numFmtId="169" fontId="7" fillId="2" borderId="29" xfId="0" applyNumberFormat="1" applyFont="1" applyFill="1" applyBorder="1" applyAlignment="1">
      <alignment horizontal="center"/>
    </xf>
    <xf numFmtId="0" fontId="7" fillId="2" borderId="30" xfId="0" applyFont="1" applyFill="1" applyBorder="1"/>
    <xf numFmtId="0" fontId="7" fillId="2" borderId="15" xfId="0" applyFont="1" applyFill="1" applyBorder="1" applyAlignment="1">
      <alignment horizontal="right"/>
    </xf>
    <xf numFmtId="1" fontId="8" fillId="6" borderId="31" xfId="0" applyNumberFormat="1" applyFont="1" applyFill="1" applyBorder="1" applyAlignment="1">
      <alignment horizontal="center"/>
    </xf>
    <xf numFmtId="169" fontId="8" fillId="6" borderId="32" xfId="0" applyNumberFormat="1" applyFont="1" applyFill="1" applyBorder="1" applyAlignment="1">
      <alignment horizontal="center"/>
    </xf>
    <xf numFmtId="169" fontId="8" fillId="6" borderId="33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7" fillId="2" borderId="34" xfId="0" applyFont="1" applyFill="1" applyBorder="1" applyAlignment="1">
      <alignment horizontal="right"/>
    </xf>
    <xf numFmtId="0" fontId="9" fillId="3" borderId="35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>
      <alignment horizontal="right"/>
    </xf>
    <xf numFmtId="2" fontId="7" fillId="6" borderId="36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15" xfId="0" applyFont="1" applyFill="1" applyBorder="1" applyAlignment="1">
      <alignment horizontal="center"/>
    </xf>
    <xf numFmtId="2" fontId="7" fillId="7" borderId="36" xfId="0" applyNumberFormat="1" applyFont="1" applyFill="1" applyBorder="1" applyAlignment="1">
      <alignment horizontal="center"/>
    </xf>
    <xf numFmtId="2" fontId="7" fillId="2" borderId="0" xfId="0" applyNumberFormat="1" applyFont="1" applyFill="1" applyAlignment="1">
      <alignment horizontal="center"/>
    </xf>
    <xf numFmtId="170" fontId="7" fillId="6" borderId="36" xfId="0" applyNumberFormat="1" applyFont="1" applyFill="1" applyBorder="1" applyAlignment="1">
      <alignment horizontal="center"/>
    </xf>
    <xf numFmtId="170" fontId="7" fillId="2" borderId="0" xfId="0" applyNumberFormat="1" applyFont="1" applyFill="1" applyAlignment="1">
      <alignment horizontal="center"/>
    </xf>
    <xf numFmtId="170" fontId="7" fillId="6" borderId="37" xfId="0" applyNumberFormat="1" applyFont="1" applyFill="1" applyBorder="1" applyAlignment="1">
      <alignment horizontal="center"/>
    </xf>
    <xf numFmtId="0" fontId="7" fillId="2" borderId="38" xfId="0" applyFont="1" applyFill="1" applyBorder="1" applyAlignment="1">
      <alignment horizontal="right"/>
    </xf>
    <xf numFmtId="170" fontId="9" fillId="3" borderId="36" xfId="0" applyNumberFormat="1" applyFont="1" applyFill="1" applyBorder="1" applyAlignment="1" applyProtection="1">
      <alignment horizontal="center"/>
      <protection locked="0"/>
    </xf>
    <xf numFmtId="170" fontId="7" fillId="2" borderId="0" xfId="0" applyNumberFormat="1" applyFont="1" applyFill="1"/>
    <xf numFmtId="0" fontId="7" fillId="2" borderId="21" xfId="0" applyFont="1" applyFill="1" applyBorder="1" applyAlignment="1">
      <alignment horizontal="right"/>
    </xf>
    <xf numFmtId="1" fontId="7" fillId="2" borderId="0" xfId="0" applyNumberFormat="1" applyFont="1" applyFill="1" applyAlignment="1">
      <alignment horizontal="center"/>
    </xf>
    <xf numFmtId="0" fontId="7" fillId="2" borderId="30" xfId="0" applyFont="1" applyFill="1" applyBorder="1" applyAlignment="1">
      <alignment horizontal="right"/>
    </xf>
    <xf numFmtId="2" fontId="7" fillId="6" borderId="30" xfId="0" applyNumberFormat="1" applyFont="1" applyFill="1" applyBorder="1" applyAlignment="1">
      <alignment horizontal="center"/>
    </xf>
    <xf numFmtId="169" fontId="8" fillId="7" borderId="23" xfId="0" applyNumberFormat="1" applyFont="1" applyFill="1" applyBorder="1" applyAlignment="1">
      <alignment horizontal="center"/>
    </xf>
    <xf numFmtId="169" fontId="7" fillId="2" borderId="0" xfId="0" applyNumberFormat="1" applyFont="1" applyFill="1" applyAlignment="1">
      <alignment horizontal="center"/>
    </xf>
    <xf numFmtId="10" fontId="7" fillId="6" borderId="36" xfId="0" applyNumberFormat="1" applyFont="1" applyFill="1" applyBorder="1" applyAlignment="1">
      <alignment horizontal="center"/>
    </xf>
    <xf numFmtId="0" fontId="7" fillId="2" borderId="39" xfId="0" applyFont="1" applyFill="1" applyBorder="1" applyAlignment="1">
      <alignment horizontal="right"/>
    </xf>
    <xf numFmtId="0" fontId="7" fillId="7" borderId="30" xfId="0" applyFont="1" applyFill="1" applyBorder="1" applyAlignment="1">
      <alignment horizontal="center"/>
    </xf>
    <xf numFmtId="0" fontId="3" fillId="2" borderId="0" xfId="0" applyFont="1" applyFill="1"/>
    <xf numFmtId="0" fontId="8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171" fontId="9" fillId="3" borderId="0" xfId="0" applyNumberFormat="1" applyFont="1" applyFill="1" applyAlignment="1" applyProtection="1">
      <alignment horizontal="center"/>
      <protection locked="0"/>
    </xf>
    <xf numFmtId="0" fontId="7" fillId="2" borderId="0" xfId="0" applyFont="1" applyFill="1" applyAlignment="1">
      <alignment horizontal="center"/>
    </xf>
    <xf numFmtId="2" fontId="8" fillId="2" borderId="23" xfId="0" applyNumberFormat="1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9" fillId="3" borderId="12" xfId="0" applyFont="1" applyFill="1" applyBorder="1" applyAlignment="1" applyProtection="1">
      <alignment horizontal="center"/>
      <protection locked="0"/>
    </xf>
    <xf numFmtId="10" fontId="7" fillId="2" borderId="23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/>
    </xf>
    <xf numFmtId="10" fontId="7" fillId="2" borderId="40" xfId="0" applyNumberFormat="1" applyFont="1" applyFill="1" applyBorder="1" applyAlignment="1">
      <alignment horizontal="center" vertical="center"/>
    </xf>
    <xf numFmtId="1" fontId="9" fillId="3" borderId="14" xfId="0" applyNumberFormat="1" applyFont="1" applyFill="1" applyBorder="1" applyAlignment="1" applyProtection="1">
      <alignment horizontal="center"/>
      <protection locked="0"/>
    </xf>
    <xf numFmtId="0" fontId="7" fillId="2" borderId="30" xfId="0" applyFont="1" applyFill="1" applyBorder="1" applyAlignment="1">
      <alignment horizontal="center"/>
    </xf>
    <xf numFmtId="0" fontId="9" fillId="3" borderId="39" xfId="0" applyFont="1" applyFill="1" applyBorder="1" applyAlignment="1" applyProtection="1">
      <alignment horizontal="center"/>
      <protection locked="0"/>
    </xf>
    <xf numFmtId="10" fontId="7" fillId="2" borderId="13" xfId="0" applyNumberFormat="1" applyFont="1" applyFill="1" applyBorder="1" applyAlignment="1">
      <alignment horizontal="center" vertical="center"/>
    </xf>
    <xf numFmtId="10" fontId="7" fillId="2" borderId="15" xfId="0" applyNumberFormat="1" applyFont="1" applyFill="1" applyBorder="1" applyAlignment="1">
      <alignment horizontal="center" vertical="center"/>
    </xf>
    <xf numFmtId="10" fontId="7" fillId="2" borderId="41" xfId="0" applyNumberFormat="1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/>
    </xf>
    <xf numFmtId="2" fontId="10" fillId="2" borderId="41" xfId="0" applyNumberFormat="1" applyFont="1" applyFill="1" applyBorder="1" applyAlignment="1">
      <alignment horizontal="center"/>
    </xf>
    <xf numFmtId="10" fontId="7" fillId="2" borderId="30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42" xfId="0" applyFont="1" applyFill="1" applyBorder="1" applyAlignment="1">
      <alignment horizontal="right"/>
    </xf>
    <xf numFmtId="10" fontId="9" fillId="7" borderId="26" xfId="0" applyNumberFormat="1" applyFont="1" applyFill="1" applyBorder="1" applyAlignment="1">
      <alignment horizontal="center"/>
    </xf>
    <xf numFmtId="0" fontId="7" fillId="2" borderId="36" xfId="0" applyFont="1" applyFill="1" applyBorder="1" applyAlignment="1">
      <alignment horizontal="right"/>
    </xf>
    <xf numFmtId="2" fontId="7" fillId="2" borderId="0" xfId="0" applyNumberFormat="1" applyFont="1" applyFill="1" applyAlignment="1">
      <alignment horizontal="center"/>
    </xf>
    <xf numFmtId="0" fontId="7" fillId="2" borderId="37" xfId="0" applyFont="1" applyFill="1" applyBorder="1" applyAlignment="1">
      <alignment horizontal="right"/>
    </xf>
    <xf numFmtId="0" fontId="9" fillId="7" borderId="43" xfId="0" applyFont="1" applyFill="1" applyBorder="1" applyAlignment="1">
      <alignment horizontal="center"/>
    </xf>
    <xf numFmtId="0" fontId="7" fillId="2" borderId="0" xfId="0" applyFont="1" applyFill="1" applyAlignment="1">
      <alignment horizontal="right"/>
    </xf>
    <xf numFmtId="0" fontId="7" fillId="2" borderId="0" xfId="0" applyFont="1" applyFill="1"/>
    <xf numFmtId="165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3" borderId="0" xfId="0" applyFont="1" applyFill="1" applyAlignment="1" applyProtection="1">
      <alignment horizontal="center"/>
      <protection locked="0"/>
    </xf>
    <xf numFmtId="0" fontId="8" fillId="2" borderId="44" xfId="0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7" fillId="2" borderId="4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0" xfId="0" applyFont="1" applyFill="1" applyAlignment="1">
      <alignment horizontal="right"/>
    </xf>
    <xf numFmtId="1" fontId="8" fillId="6" borderId="46" xfId="0" applyNumberFormat="1" applyFont="1" applyFill="1" applyBorder="1" applyAlignment="1">
      <alignment horizontal="center"/>
    </xf>
    <xf numFmtId="1" fontId="8" fillId="6" borderId="47" xfId="0" applyNumberFormat="1" applyFont="1" applyFill="1" applyBorder="1" applyAlignment="1">
      <alignment horizontal="center"/>
    </xf>
    <xf numFmtId="169" fontId="8" fillId="6" borderId="30" xfId="0" applyNumberFormat="1" applyFont="1" applyFill="1" applyBorder="1" applyAlignment="1">
      <alignment horizontal="center"/>
    </xf>
    <xf numFmtId="0" fontId="7" fillId="2" borderId="48" xfId="0" applyFont="1" applyFill="1" applyBorder="1" applyAlignment="1">
      <alignment horizontal="right"/>
    </xf>
    <xf numFmtId="0" fontId="9" fillId="3" borderId="49" xfId="0" applyFont="1" applyFill="1" applyBorder="1" applyAlignment="1" applyProtection="1">
      <alignment horizontal="center"/>
      <protection locked="0"/>
    </xf>
    <xf numFmtId="0" fontId="7" fillId="2" borderId="16" xfId="0" applyFont="1" applyFill="1" applyBorder="1" applyAlignment="1">
      <alignment horizontal="right"/>
    </xf>
    <xf numFmtId="2" fontId="7" fillId="6" borderId="18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2" fontId="7" fillId="7" borderId="18" xfId="0" applyNumberFormat="1" applyFont="1" applyFill="1" applyBorder="1" applyAlignment="1">
      <alignment horizontal="center"/>
    </xf>
    <xf numFmtId="170" fontId="7" fillId="6" borderId="18" xfId="0" applyNumberFormat="1" applyFont="1" applyFill="1" applyBorder="1" applyAlignment="1">
      <alignment horizontal="center"/>
    </xf>
    <xf numFmtId="0" fontId="2" fillId="2" borderId="0" xfId="0" applyFont="1" applyFill="1"/>
    <xf numFmtId="170" fontId="7" fillId="7" borderId="18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7" fillId="2" borderId="50" xfId="0" applyFont="1" applyFill="1" applyBorder="1" applyAlignment="1">
      <alignment horizontal="right"/>
    </xf>
    <xf numFmtId="2" fontId="7" fillId="7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 wrapText="1"/>
    </xf>
    <xf numFmtId="0" fontId="7" fillId="2" borderId="35" xfId="0" applyFont="1" applyFill="1" applyBorder="1" applyAlignment="1">
      <alignment horizontal="right"/>
    </xf>
    <xf numFmtId="169" fontId="8" fillId="7" borderId="35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7" fillId="2" borderId="0" xfId="0" applyNumberFormat="1" applyFont="1" applyFill="1" applyAlignment="1">
      <alignment horizontal="center"/>
    </xf>
    <xf numFmtId="10" fontId="8" fillId="6" borderId="36" xfId="0" applyNumberFormat="1" applyFont="1" applyFill="1" applyBorder="1" applyAlignment="1">
      <alignment horizontal="center"/>
    </xf>
    <xf numFmtId="0" fontId="8" fillId="7" borderId="37" xfId="0" applyFont="1" applyFill="1" applyBorder="1" applyAlignment="1">
      <alignment horizontal="center"/>
    </xf>
    <xf numFmtId="0" fontId="8" fillId="2" borderId="44" xfId="0" applyFont="1" applyFill="1" applyBorder="1" applyAlignment="1">
      <alignment horizontal="center"/>
    </xf>
    <xf numFmtId="0" fontId="8" fillId="2" borderId="51" xfId="0" applyFont="1" applyFill="1" applyBorder="1" applyAlignment="1">
      <alignment horizontal="center"/>
    </xf>
    <xf numFmtId="0" fontId="8" fillId="2" borderId="5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 wrapText="1"/>
    </xf>
    <xf numFmtId="0" fontId="7" fillId="2" borderId="14" xfId="0" applyFont="1" applyFill="1" applyBorder="1" applyAlignment="1">
      <alignment horizontal="center"/>
    </xf>
    <xf numFmtId="1" fontId="9" fillId="3" borderId="24" xfId="0" applyNumberFormat="1" applyFont="1" applyFill="1" applyBorder="1" applyAlignment="1" applyProtection="1">
      <alignment horizontal="center"/>
      <protection locked="0"/>
    </xf>
    <xf numFmtId="10" fontId="7" fillId="2" borderId="22" xfId="0" applyNumberFormat="1" applyFont="1" applyFill="1" applyBorder="1" applyAlignment="1">
      <alignment horizontal="center"/>
    </xf>
    <xf numFmtId="10" fontId="7" fillId="2" borderId="25" xfId="0" applyNumberFormat="1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1" fontId="9" fillId="3" borderId="28" xfId="0" applyNumberFormat="1" applyFont="1" applyFill="1" applyBorder="1" applyAlignment="1" applyProtection="1">
      <alignment horizontal="center"/>
      <protection locked="0"/>
    </xf>
    <xf numFmtId="10" fontId="7" fillId="2" borderId="29" xfId="0" applyNumberFormat="1" applyFont="1" applyFill="1" applyBorder="1" applyAlignment="1">
      <alignment horizontal="center"/>
    </xf>
    <xf numFmtId="2" fontId="7" fillId="2" borderId="15" xfId="0" applyNumberFormat="1" applyFont="1" applyFill="1" applyBorder="1" applyAlignment="1">
      <alignment horizontal="center"/>
    </xf>
    <xf numFmtId="169" fontId="8" fillId="2" borderId="0" xfId="0" applyNumberFormat="1" applyFont="1" applyFill="1" applyAlignment="1">
      <alignment horizontal="center"/>
    </xf>
    <xf numFmtId="169" fontId="7" fillId="2" borderId="2" xfId="0" applyNumberFormat="1" applyFont="1" applyFill="1" applyBorder="1" applyAlignment="1">
      <alignment horizontal="right"/>
    </xf>
    <xf numFmtId="10" fontId="9" fillId="7" borderId="18" xfId="0" applyNumberFormat="1" applyFont="1" applyFill="1" applyBorder="1" applyAlignment="1">
      <alignment horizontal="center"/>
    </xf>
    <xf numFmtId="0" fontId="7" fillId="2" borderId="14" xfId="0" applyFont="1" applyFill="1" applyBorder="1"/>
    <xf numFmtId="0" fontId="7" fillId="2" borderId="6" xfId="0" applyFont="1" applyFill="1" applyBorder="1"/>
    <xf numFmtId="10" fontId="9" fillId="6" borderId="18" xfId="0" applyNumberFormat="1" applyFont="1" applyFill="1" applyBorder="1" applyAlignment="1">
      <alignment horizontal="center"/>
    </xf>
    <xf numFmtId="0" fontId="7" fillId="2" borderId="39" xfId="0" applyFont="1" applyFill="1" applyBorder="1"/>
    <xf numFmtId="0" fontId="7" fillId="2" borderId="53" xfId="0" applyFont="1" applyFill="1" applyBorder="1" applyAlignment="1">
      <alignment horizontal="center"/>
    </xf>
    <xf numFmtId="0" fontId="7" fillId="2" borderId="54" xfId="0" applyFont="1" applyFill="1" applyBorder="1" applyAlignment="1">
      <alignment horizontal="right"/>
    </xf>
    <xf numFmtId="0" fontId="9" fillId="7" borderId="37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left" vertical="center" wrapText="1"/>
    </xf>
    <xf numFmtId="0" fontId="7" fillId="2" borderId="9" xfId="0" applyFont="1" applyFill="1" applyBorder="1"/>
    <xf numFmtId="0" fontId="7" fillId="2" borderId="10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0" fontId="7" fillId="2" borderId="7" xfId="0" applyFont="1" applyFill="1" applyBorder="1"/>
    <xf numFmtId="0" fontId="7" fillId="2" borderId="7" xfId="0" applyFont="1" applyFill="1" applyBorder="1"/>
    <xf numFmtId="0" fontId="8" fillId="2" borderId="11" xfId="0" applyFont="1" applyFill="1" applyBorder="1"/>
    <xf numFmtId="0" fontId="7" fillId="2" borderId="11" xfId="0" applyFont="1" applyFill="1" applyBorder="1"/>
    <xf numFmtId="0" fontId="15" fillId="2" borderId="0" xfId="0" applyFont="1" applyFill="1" applyAlignment="1">
      <alignment horizontal="right" vertical="center" wrapText="1"/>
    </xf>
    <xf numFmtId="0" fontId="9" fillId="2" borderId="0" xfId="0" applyFont="1" applyFill="1" applyAlignment="1" applyProtection="1">
      <alignment horizontal="right"/>
      <protection locked="0"/>
    </xf>
    <xf numFmtId="170" fontId="8" fillId="2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Protection="1">
      <protection locked="0"/>
    </xf>
    <xf numFmtId="170" fontId="7" fillId="2" borderId="12" xfId="0" applyNumberFormat="1" applyFont="1" applyFill="1" applyBorder="1" applyAlignment="1">
      <alignment horizontal="center"/>
    </xf>
    <xf numFmtId="170" fontId="7" fillId="2" borderId="14" xfId="0" applyNumberFormat="1" applyFont="1" applyFill="1" applyBorder="1" applyAlignment="1">
      <alignment horizontal="center"/>
    </xf>
    <xf numFmtId="170" fontId="7" fillId="2" borderId="23" xfId="0" applyNumberFormat="1" applyFont="1" applyFill="1" applyBorder="1" applyAlignment="1">
      <alignment horizontal="center"/>
    </xf>
    <xf numFmtId="170" fontId="7" fillId="2" borderId="40" xfId="0" applyNumberFormat="1" applyFont="1" applyFill="1" applyBorder="1" applyAlignment="1">
      <alignment horizontal="center"/>
    </xf>
    <xf numFmtId="170" fontId="7" fillId="2" borderId="30" xfId="0" applyNumberFormat="1" applyFont="1" applyFill="1" applyBorder="1" applyAlignment="1">
      <alignment horizontal="center"/>
    </xf>
    <xf numFmtId="10" fontId="9" fillId="6" borderId="55" xfId="0" applyNumberFormat="1" applyFont="1" applyFill="1" applyBorder="1" applyAlignment="1">
      <alignment horizontal="center"/>
    </xf>
    <xf numFmtId="170" fontId="7" fillId="2" borderId="17" xfId="0" applyNumberFormat="1" applyFont="1" applyFill="1" applyBorder="1" applyAlignment="1">
      <alignment horizontal="center"/>
    </xf>
    <xf numFmtId="170" fontId="7" fillId="2" borderId="24" xfId="0" applyNumberFormat="1" applyFont="1" applyFill="1" applyBorder="1" applyAlignment="1">
      <alignment horizontal="center"/>
    </xf>
    <xf numFmtId="170" fontId="7" fillId="2" borderId="28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19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20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72" fontId="6" fillId="2" borderId="0" xfId="0" applyNumberFormat="1" applyFont="1" applyFill="1"/>
    <xf numFmtId="170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9" xfId="0" applyNumberFormat="1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right" vertical="center"/>
    </xf>
    <xf numFmtId="170" fontId="6" fillId="2" borderId="19" xfId="0" applyNumberFormat="1" applyFont="1" applyFill="1" applyBorder="1" applyAlignment="1">
      <alignment horizontal="center" vertical="center"/>
    </xf>
    <xf numFmtId="164" fontId="5" fillId="2" borderId="19" xfId="0" applyNumberFormat="1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wrapText="1"/>
    </xf>
    <xf numFmtId="164" fontId="5" fillId="2" borderId="19" xfId="0" applyNumberFormat="1" applyFont="1" applyFill="1" applyBorder="1" applyAlignment="1">
      <alignment horizontal="center" wrapText="1"/>
    </xf>
    <xf numFmtId="10" fontId="6" fillId="2" borderId="23" xfId="0" applyNumberFormat="1" applyFont="1" applyFill="1" applyBorder="1" applyAlignment="1">
      <alignment horizontal="center"/>
    </xf>
    <xf numFmtId="10" fontId="6" fillId="2" borderId="40" xfId="0" applyNumberFormat="1" applyFont="1" applyFill="1" applyBorder="1" applyAlignment="1">
      <alignment horizontal="center"/>
    </xf>
    <xf numFmtId="10" fontId="6" fillId="2" borderId="30" xfId="0" applyNumberFormat="1" applyFont="1" applyFill="1" applyBorder="1" applyAlignment="1">
      <alignment horizontal="center"/>
    </xf>
    <xf numFmtId="0" fontId="4" fillId="2" borderId="0" xfId="0" applyFont="1" applyFill="1"/>
    <xf numFmtId="0" fontId="21" fillId="2" borderId="0" xfId="0" applyFont="1" applyFill="1" applyAlignment="1">
      <alignment wrapText="1"/>
    </xf>
    <xf numFmtId="0" fontId="5" fillId="2" borderId="19" xfId="0" applyFont="1" applyFill="1" applyBorder="1" applyAlignment="1">
      <alignment horizontal="center" vertical="center"/>
    </xf>
    <xf numFmtId="165" fontId="5" fillId="2" borderId="35" xfId="0" applyNumberFormat="1" applyFont="1" applyFill="1" applyBorder="1" applyAlignment="1">
      <alignment horizontal="center"/>
    </xf>
    <xf numFmtId="165" fontId="5" fillId="2" borderId="37" xfId="0" applyNumberFormat="1" applyFont="1" applyFill="1" applyBorder="1" applyAlignment="1">
      <alignment horizontal="center"/>
    </xf>
    <xf numFmtId="2" fontId="6" fillId="3" borderId="40" xfId="0" applyNumberFormat="1" applyFont="1" applyFill="1" applyBorder="1" applyProtection="1">
      <protection locked="0"/>
    </xf>
    <xf numFmtId="2" fontId="6" fillId="3" borderId="30" xfId="0" applyNumberFormat="1" applyFont="1" applyFill="1" applyBorder="1" applyProtection="1">
      <protection locked="0"/>
    </xf>
    <xf numFmtId="172" fontId="6" fillId="2" borderId="0" xfId="0" applyNumberFormat="1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4" fillId="8" borderId="60" xfId="1" applyFont="1" applyFill="1" applyBorder="1" applyAlignment="1" applyProtection="1">
      <alignment horizontal="center"/>
      <protection locked="0"/>
    </xf>
    <xf numFmtId="2" fontId="24" fillId="8" borderId="60" xfId="1" applyNumberFormat="1" applyFont="1" applyFill="1" applyBorder="1" applyAlignment="1" applyProtection="1">
      <alignment horizontal="center"/>
      <protection locked="0"/>
    </xf>
    <xf numFmtId="2" fontId="24" fillId="8" borderId="61" xfId="1" applyNumberFormat="1" applyFont="1" applyFill="1" applyBorder="1" applyAlignment="1" applyProtection="1">
      <alignment horizontal="center"/>
      <protection locked="0"/>
    </xf>
    <xf numFmtId="0" fontId="24" fillId="8" borderId="62" xfId="1" applyFont="1" applyFill="1" applyBorder="1" applyAlignment="1" applyProtection="1">
      <alignment horizontal="center"/>
      <protection locked="0"/>
    </xf>
    <xf numFmtId="2" fontId="24" fillId="8" borderId="62" xfId="1" applyNumberFormat="1" applyFont="1" applyFill="1" applyBorder="1" applyAlignment="1" applyProtection="1">
      <alignment horizontal="center"/>
      <protection locked="0"/>
    </xf>
    <xf numFmtId="0" fontId="26" fillId="2" borderId="0" xfId="0" applyFont="1" applyFill="1"/>
    <xf numFmtId="0" fontId="28" fillId="8" borderId="63" xfId="1" applyFont="1" applyFill="1" applyBorder="1" applyAlignment="1" applyProtection="1">
      <alignment horizontal="center"/>
      <protection locked="0"/>
    </xf>
    <xf numFmtId="0" fontId="28" fillId="8" borderId="64" xfId="1" applyFont="1" applyFill="1" applyBorder="1" applyAlignment="1" applyProtection="1">
      <alignment horizontal="center"/>
      <protection locked="0"/>
    </xf>
    <xf numFmtId="0" fontId="28" fillId="8" borderId="65" xfId="1" applyFont="1" applyFill="1" applyBorder="1" applyAlignment="1" applyProtection="1">
      <alignment horizontal="center"/>
      <protection locked="0"/>
    </xf>
    <xf numFmtId="0" fontId="29" fillId="2" borderId="7" xfId="0" applyFont="1" applyFill="1" applyBorder="1"/>
    <xf numFmtId="0" fontId="30" fillId="2" borderId="7" xfId="0" applyFont="1" applyFill="1" applyBorder="1"/>
    <xf numFmtId="14" fontId="2" fillId="2" borderId="7" xfId="0" applyNumberFormat="1" applyFont="1" applyFill="1" applyBorder="1"/>
    <xf numFmtId="0" fontId="25" fillId="2" borderId="7" xfId="0" applyFont="1" applyFill="1" applyBorder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5" fillId="2" borderId="12" xfId="0" applyFont="1" applyFill="1" applyBorder="1" applyAlignment="1">
      <alignment horizontal="left" vertical="center" wrapText="1"/>
    </xf>
    <xf numFmtId="0" fontId="15" fillId="2" borderId="13" xfId="0" applyFont="1" applyFill="1" applyBorder="1" applyAlignment="1">
      <alignment horizontal="left" vertical="center" wrapText="1"/>
    </xf>
    <xf numFmtId="0" fontId="15" fillId="2" borderId="39" xfId="0" applyFont="1" applyFill="1" applyBorder="1" applyAlignment="1">
      <alignment horizontal="left" vertical="center" wrapText="1"/>
    </xf>
    <xf numFmtId="0" fontId="15" fillId="2" borderId="4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15" fillId="2" borderId="56" xfId="0" applyFont="1" applyFill="1" applyBorder="1" applyAlignment="1">
      <alignment horizontal="justify" vertical="center" wrapText="1"/>
    </xf>
    <xf numFmtId="0" fontId="15" fillId="2" borderId="57" xfId="0" applyFont="1" applyFill="1" applyBorder="1" applyAlignment="1">
      <alignment horizontal="justify" vertical="center" wrapText="1"/>
    </xf>
    <xf numFmtId="0" fontId="15" fillId="2" borderId="58" xfId="0" applyFont="1" applyFill="1" applyBorder="1" applyAlignment="1">
      <alignment horizontal="justify" vertical="center" wrapText="1"/>
    </xf>
    <xf numFmtId="0" fontId="15" fillId="2" borderId="56" xfId="0" applyFont="1" applyFill="1" applyBorder="1" applyAlignment="1">
      <alignment horizontal="left" vertical="center" wrapText="1"/>
    </xf>
    <xf numFmtId="0" fontId="15" fillId="2" borderId="57" xfId="0" applyFont="1" applyFill="1" applyBorder="1" applyAlignment="1">
      <alignment horizontal="left" vertical="center" wrapText="1"/>
    </xf>
    <xf numFmtId="0" fontId="15" fillId="2" borderId="58" xfId="0" applyFont="1" applyFill="1" applyBorder="1" applyAlignment="1">
      <alignment horizontal="left" vertical="center" wrapText="1"/>
    </xf>
    <xf numFmtId="0" fontId="8" fillId="2" borderId="44" xfId="0" applyFont="1" applyFill="1" applyBorder="1" applyAlignment="1">
      <alignment horizontal="center"/>
    </xf>
    <xf numFmtId="0" fontId="8" fillId="2" borderId="59" xfId="0" applyFont="1" applyFill="1" applyBorder="1" applyAlignment="1">
      <alignment horizontal="center"/>
    </xf>
    <xf numFmtId="10" fontId="11" fillId="2" borderId="40" xfId="0" applyNumberFormat="1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2" fontId="9" fillId="3" borderId="23" xfId="0" applyNumberFormat="1" applyFont="1" applyFill="1" applyBorder="1" applyAlignment="1" applyProtection="1">
      <alignment horizontal="center" vertical="center"/>
      <protection locked="0"/>
    </xf>
    <xf numFmtId="2" fontId="9" fillId="3" borderId="40" xfId="0" applyNumberFormat="1" applyFont="1" applyFill="1" applyBorder="1" applyAlignment="1" applyProtection="1">
      <alignment horizontal="center" vertical="center"/>
      <protection locked="0"/>
    </xf>
    <xf numFmtId="2" fontId="9" fillId="3" borderId="30" xfId="0" applyNumberFormat="1" applyFont="1" applyFill="1" applyBorder="1" applyAlignment="1" applyProtection="1">
      <alignment horizontal="center" vertical="center"/>
      <protection locked="0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39" xfId="0" applyFont="1" applyFill="1" applyBorder="1" applyAlignment="1">
      <alignment horizontal="center" vertical="center" wrapText="1"/>
    </xf>
    <xf numFmtId="0" fontId="15" fillId="2" borderId="41" xfId="0" applyFont="1" applyFill="1" applyBorder="1" applyAlignment="1">
      <alignment horizontal="center" vertical="center" wrapText="1"/>
    </xf>
    <xf numFmtId="0" fontId="9" fillId="3" borderId="0" xfId="0" applyFont="1" applyFill="1" applyAlignment="1" applyProtection="1">
      <alignment horizontal="left"/>
      <protection locked="0"/>
    </xf>
    <xf numFmtId="0" fontId="8" fillId="2" borderId="9" xfId="0" applyFont="1" applyFill="1" applyBorder="1" applyAlignment="1">
      <alignment horizontal="center" vertical="center"/>
    </xf>
    <xf numFmtId="0" fontId="10" fillId="3" borderId="0" xfId="0" applyFont="1" applyFill="1" applyAlignment="1" applyProtection="1">
      <alignment horizontal="left"/>
      <protection locked="0"/>
    </xf>
    <xf numFmtId="0" fontId="8" fillId="2" borderId="34" xfId="0" applyFont="1" applyFill="1" applyBorder="1" applyAlignment="1">
      <alignment horizontal="center"/>
    </xf>
    <xf numFmtId="0" fontId="27" fillId="3" borderId="0" xfId="0" applyFont="1" applyFill="1" applyAlignment="1" applyProtection="1">
      <alignment horizontal="left" wrapText="1"/>
      <protection locked="0"/>
    </xf>
    <xf numFmtId="0" fontId="9" fillId="3" borderId="0" xfId="0" applyFont="1" applyFill="1" applyAlignment="1" applyProtection="1">
      <alignment horizontal="left" wrapText="1"/>
      <protection locked="0"/>
    </xf>
    <xf numFmtId="0" fontId="15" fillId="2" borderId="56" xfId="0" applyFont="1" applyFill="1" applyBorder="1" applyAlignment="1">
      <alignment horizontal="center"/>
    </xf>
    <xf numFmtId="0" fontId="15" fillId="2" borderId="57" xfId="0" applyFont="1" applyFill="1" applyBorder="1" applyAlignment="1">
      <alignment horizontal="center"/>
    </xf>
    <xf numFmtId="0" fontId="15" fillId="2" borderId="58" xfId="0" applyFont="1" applyFill="1" applyBorder="1" applyAlignment="1">
      <alignment horizontal="center"/>
    </xf>
    <xf numFmtId="0" fontId="18" fillId="2" borderId="10" xfId="0" applyFont="1" applyFill="1" applyBorder="1" applyAlignment="1">
      <alignment horizontal="center" vertical="center"/>
    </xf>
    <xf numFmtId="0" fontId="10" fillId="3" borderId="0" xfId="0" applyFont="1" applyFill="1" applyAlignment="1" applyProtection="1">
      <alignment horizontal="left" wrapText="1"/>
      <protection locked="0"/>
    </xf>
    <xf numFmtId="170" fontId="5" fillId="2" borderId="23" xfId="0" applyNumberFormat="1" applyFont="1" applyFill="1" applyBorder="1" applyAlignment="1">
      <alignment horizontal="center" vertical="center"/>
    </xf>
    <xf numFmtId="170" fontId="5" fillId="2" borderId="30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1" fillId="2" borderId="56" xfId="0" applyFont="1" applyFill="1" applyBorder="1" applyAlignment="1">
      <alignment horizontal="center" wrapText="1"/>
    </xf>
    <xf numFmtId="0" fontId="21" fillId="2" borderId="57" xfId="0" applyFont="1" applyFill="1" applyBorder="1" applyAlignment="1">
      <alignment horizontal="center" wrapText="1"/>
    </xf>
    <xf numFmtId="0" fontId="21" fillId="2" borderId="58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</cellXfs>
  <cellStyles count="2">
    <cellStyle name="Normal" xfId="0" builtinId="0"/>
    <cellStyle name="Normal 2" xfId="1"/>
  </cellStyles>
  <dxfs count="37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view="pageBreakPreview" topLeftCell="A28" zoomScale="60" zoomScaleNormal="100" workbookViewId="0">
      <selection activeCell="E60" sqref="E6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473" t="s">
        <v>0</v>
      </c>
      <c r="B15" s="473"/>
      <c r="C15" s="473"/>
      <c r="D15" s="473"/>
      <c r="E15" s="47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65" t="s">
        <v>125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>
        <v>9.58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B20/10</f>
        <v>0.95799999999999996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460"/>
      <c r="C24" s="460"/>
      <c r="D24" s="461"/>
      <c r="E24" s="462"/>
    </row>
    <row r="25" spans="1:6" ht="16.5" customHeight="1" x14ac:dyDescent="0.3">
      <c r="A25" s="17">
        <v>2</v>
      </c>
      <c r="B25" s="460">
        <v>2401008</v>
      </c>
      <c r="C25" s="460">
        <v>9269.2999999999993</v>
      </c>
      <c r="D25" s="461">
        <v>1.1200000000000001</v>
      </c>
      <c r="E25" s="461">
        <v>9.75</v>
      </c>
    </row>
    <row r="26" spans="1:6" ht="16.5" customHeight="1" x14ac:dyDescent="0.3">
      <c r="A26" s="17">
        <v>3</v>
      </c>
      <c r="B26" s="460">
        <v>2415237</v>
      </c>
      <c r="C26" s="460">
        <v>9252.44</v>
      </c>
      <c r="D26" s="461">
        <v>1.1299999999999999</v>
      </c>
      <c r="E26" s="461">
        <v>9.75</v>
      </c>
    </row>
    <row r="27" spans="1:6" ht="16.5" customHeight="1" x14ac:dyDescent="0.3">
      <c r="A27" s="17">
        <v>4</v>
      </c>
      <c r="B27" s="460">
        <v>2448934</v>
      </c>
      <c r="C27" s="460">
        <v>9228.81</v>
      </c>
      <c r="D27" s="461">
        <v>1.1299999999999999</v>
      </c>
      <c r="E27" s="461">
        <v>9.75</v>
      </c>
    </row>
    <row r="28" spans="1:6" ht="16.5" customHeight="1" x14ac:dyDescent="0.3">
      <c r="A28" s="17">
        <v>5</v>
      </c>
      <c r="B28" s="460">
        <v>2469114</v>
      </c>
      <c r="C28" s="460">
        <v>9236.44</v>
      </c>
      <c r="D28" s="461">
        <v>1.1499999999999999</v>
      </c>
      <c r="E28" s="461">
        <v>9.75</v>
      </c>
    </row>
    <row r="29" spans="1:6" ht="16.5" customHeight="1" x14ac:dyDescent="0.3">
      <c r="A29" s="17">
        <v>6</v>
      </c>
      <c r="B29" s="463">
        <v>2482137</v>
      </c>
      <c r="C29" s="463">
        <v>9240.59</v>
      </c>
      <c r="D29" s="464">
        <v>1.1399999999999999</v>
      </c>
      <c r="E29" s="464">
        <v>9.76</v>
      </c>
    </row>
    <row r="30" spans="1:6" ht="16.5" customHeight="1" x14ac:dyDescent="0.3">
      <c r="A30" s="18" t="s">
        <v>18</v>
      </c>
      <c r="B30" s="19">
        <f>AVERAGE(B24:B29)</f>
        <v>2443286</v>
      </c>
      <c r="C30" s="20">
        <f>AVERAGE(C24:C29)</f>
        <v>9245.5159999999996</v>
      </c>
      <c r="D30" s="21">
        <f>AVERAGE(D24:D29)</f>
        <v>1.1339999999999999</v>
      </c>
      <c r="E30" s="21">
        <f>AVERAGE(E24:E29)</f>
        <v>9.7519999999999989</v>
      </c>
    </row>
    <row r="31" spans="1:6" ht="16.5" customHeight="1" x14ac:dyDescent="0.3">
      <c r="A31" s="22" t="s">
        <v>19</v>
      </c>
      <c r="B31" s="23">
        <f>(STDEV(B24:B29)/B30)</f>
        <v>1.415226570794131E-2</v>
      </c>
      <c r="C31" s="24"/>
      <c r="D31" s="24"/>
      <c r="E31" s="25"/>
      <c r="F31" s="2"/>
    </row>
    <row r="32" spans="1:6" s="2" customFormat="1" ht="16.5" customHeight="1" x14ac:dyDescent="0.3">
      <c r="A32" s="26" t="s">
        <v>20</v>
      </c>
      <c r="B32" s="27">
        <f>COUNT(B24:B29)</f>
        <v>5</v>
      </c>
      <c r="C32" s="28"/>
      <c r="D32" s="29"/>
      <c r="E32" s="30"/>
    </row>
    <row r="33" spans="1:6" s="2" customFormat="1" ht="15.75" customHeight="1" x14ac:dyDescent="0.25">
      <c r="A33" s="10"/>
      <c r="B33" s="10"/>
      <c r="C33" s="10"/>
      <c r="D33" s="10"/>
      <c r="E33" s="31"/>
    </row>
    <row r="34" spans="1:6" s="2" customFormat="1" ht="16.5" customHeight="1" x14ac:dyDescent="0.3">
      <c r="A34" s="11" t="s">
        <v>21</v>
      </c>
      <c r="B34" s="32" t="s">
        <v>22</v>
      </c>
      <c r="C34" s="33"/>
      <c r="D34" s="33"/>
      <c r="E34" s="34"/>
    </row>
    <row r="35" spans="1:6" ht="16.5" customHeight="1" x14ac:dyDescent="0.3">
      <c r="A35" s="11"/>
      <c r="B35" s="32" t="s">
        <v>23</v>
      </c>
      <c r="C35" s="33"/>
      <c r="D35" s="33"/>
      <c r="E35" s="34"/>
      <c r="F35" s="2"/>
    </row>
    <row r="36" spans="1:6" ht="16.5" customHeight="1" x14ac:dyDescent="0.3">
      <c r="A36" s="11"/>
      <c r="B36" s="35" t="s">
        <v>24</v>
      </c>
      <c r="C36" s="33"/>
      <c r="D36" s="33"/>
      <c r="E36" s="33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465" t="s">
        <v>125</v>
      </c>
      <c r="C39" s="10"/>
      <c r="D39" s="10"/>
      <c r="E39" s="10"/>
    </row>
    <row r="40" spans="1:6" ht="16.5" customHeight="1" x14ac:dyDescent="0.3">
      <c r="A40" s="11" t="s">
        <v>6</v>
      </c>
      <c r="B40" s="12" t="s">
        <v>7</v>
      </c>
      <c r="C40" s="10"/>
      <c r="D40" s="10"/>
      <c r="E40" s="10"/>
    </row>
    <row r="41" spans="1:6" ht="16.5" customHeight="1" x14ac:dyDescent="0.3">
      <c r="A41" s="7" t="s">
        <v>8</v>
      </c>
      <c r="B41" s="12">
        <v>9.58</v>
      </c>
      <c r="C41" s="10"/>
      <c r="D41" s="10"/>
      <c r="E41" s="10"/>
    </row>
    <row r="42" spans="1:6" ht="16.5" customHeight="1" x14ac:dyDescent="0.3">
      <c r="A42" s="7" t="s">
        <v>10</v>
      </c>
      <c r="B42" s="13">
        <f>B41/10</f>
        <v>0.95799999999999996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460"/>
      <c r="C45" s="460"/>
      <c r="D45" s="461"/>
      <c r="E45" s="462"/>
    </row>
    <row r="46" spans="1:6" ht="16.5" customHeight="1" x14ac:dyDescent="0.3">
      <c r="A46" s="17">
        <v>2</v>
      </c>
      <c r="B46" s="460">
        <v>2401008</v>
      </c>
      <c r="C46" s="460">
        <v>9269.2999999999993</v>
      </c>
      <c r="D46" s="461">
        <v>1.1200000000000001</v>
      </c>
      <c r="E46" s="461">
        <v>9.75</v>
      </c>
    </row>
    <row r="47" spans="1:6" ht="16.5" customHeight="1" x14ac:dyDescent="0.3">
      <c r="A47" s="17">
        <v>3</v>
      </c>
      <c r="B47" s="460">
        <v>2415237</v>
      </c>
      <c r="C47" s="460">
        <v>9252.44</v>
      </c>
      <c r="D47" s="461">
        <v>1.1299999999999999</v>
      </c>
      <c r="E47" s="461">
        <v>9.75</v>
      </c>
    </row>
    <row r="48" spans="1:6" ht="16.5" customHeight="1" x14ac:dyDescent="0.3">
      <c r="A48" s="17">
        <v>4</v>
      </c>
      <c r="B48" s="460">
        <v>2448934</v>
      </c>
      <c r="C48" s="460">
        <v>9228.81</v>
      </c>
      <c r="D48" s="461">
        <v>1.1299999999999999</v>
      </c>
      <c r="E48" s="461">
        <v>9.75</v>
      </c>
    </row>
    <row r="49" spans="1:7" ht="16.5" customHeight="1" x14ac:dyDescent="0.3">
      <c r="A49" s="17">
        <v>5</v>
      </c>
      <c r="B49" s="460">
        <v>2469114</v>
      </c>
      <c r="C49" s="460">
        <v>9236.44</v>
      </c>
      <c r="D49" s="461">
        <v>1.1499999999999999</v>
      </c>
      <c r="E49" s="461">
        <v>9.75</v>
      </c>
    </row>
    <row r="50" spans="1:7" ht="16.5" customHeight="1" x14ac:dyDescent="0.3">
      <c r="A50" s="17">
        <v>6</v>
      </c>
      <c r="B50" s="463">
        <v>2482137</v>
      </c>
      <c r="C50" s="463">
        <v>9240.59</v>
      </c>
      <c r="D50" s="464">
        <v>1.1399999999999999</v>
      </c>
      <c r="E50" s="464">
        <v>9.76</v>
      </c>
    </row>
    <row r="51" spans="1:7" ht="16.5" customHeight="1" x14ac:dyDescent="0.3">
      <c r="A51" s="18" t="s">
        <v>18</v>
      </c>
      <c r="B51" s="19">
        <f>AVERAGE(B45:B50)</f>
        <v>2443286</v>
      </c>
      <c r="C51" s="20">
        <f>AVERAGE(C45:C50)</f>
        <v>9245.5159999999996</v>
      </c>
      <c r="D51" s="21">
        <f>AVERAGE(D45:D50)</f>
        <v>1.1339999999999999</v>
      </c>
      <c r="E51" s="21">
        <f>AVERAGE(E45:E50)</f>
        <v>9.7519999999999989</v>
      </c>
    </row>
    <row r="52" spans="1:7" ht="16.5" customHeight="1" x14ac:dyDescent="0.3">
      <c r="A52" s="22" t="s">
        <v>19</v>
      </c>
      <c r="B52" s="23">
        <f>(STDEV(B45:B50)/B51)</f>
        <v>1.415226570794131E-2</v>
      </c>
      <c r="C52" s="24"/>
      <c r="D52" s="24"/>
      <c r="E52" s="25"/>
      <c r="F52" s="2"/>
    </row>
    <row r="53" spans="1:7" s="2" customFormat="1" ht="16.5" customHeight="1" x14ac:dyDescent="0.3">
      <c r="A53" s="26" t="s">
        <v>20</v>
      </c>
      <c r="B53" s="27">
        <f>COUNT(B45:B50)</f>
        <v>5</v>
      </c>
      <c r="C53" s="28"/>
      <c r="D53" s="29"/>
      <c r="E53" s="30"/>
    </row>
    <row r="54" spans="1:7" s="2" customFormat="1" ht="15.75" customHeight="1" x14ac:dyDescent="0.25">
      <c r="A54" s="10"/>
      <c r="B54" s="10"/>
      <c r="C54" s="10"/>
      <c r="D54" s="10"/>
      <c r="E54" s="31"/>
    </row>
    <row r="55" spans="1:7" s="2" customFormat="1" ht="16.5" customHeight="1" x14ac:dyDescent="0.3">
      <c r="A55" s="11" t="s">
        <v>21</v>
      </c>
      <c r="B55" s="32" t="s">
        <v>22</v>
      </c>
      <c r="C55" s="33"/>
      <c r="D55" s="33"/>
      <c r="E55" s="34"/>
    </row>
    <row r="56" spans="1:7" ht="16.5" customHeight="1" x14ac:dyDescent="0.3">
      <c r="A56" s="11"/>
      <c r="B56" s="32" t="s">
        <v>23</v>
      </c>
      <c r="C56" s="33"/>
      <c r="D56" s="33"/>
      <c r="E56" s="34"/>
      <c r="F56" s="2"/>
    </row>
    <row r="57" spans="1:7" ht="16.5" customHeight="1" x14ac:dyDescent="0.3">
      <c r="A57" s="11"/>
      <c r="B57" s="35" t="s">
        <v>24</v>
      </c>
      <c r="C57" s="33"/>
      <c r="D57" s="34"/>
      <c r="E57" s="33"/>
    </row>
    <row r="58" spans="1:7" ht="14.25" customHeight="1" x14ac:dyDescent="0.25">
      <c r="A58" s="36"/>
      <c r="B58" s="37"/>
      <c r="D58" s="38"/>
      <c r="F58" s="39"/>
      <c r="G58" s="39"/>
    </row>
    <row r="59" spans="1:7" ht="15" customHeight="1" x14ac:dyDescent="0.3">
      <c r="B59" s="474" t="s">
        <v>26</v>
      </c>
      <c r="C59" s="474"/>
      <c r="E59" s="40" t="s">
        <v>27</v>
      </c>
      <c r="F59" s="41"/>
      <c r="G59" s="40" t="s">
        <v>28</v>
      </c>
    </row>
    <row r="60" spans="1:7" ht="15" customHeight="1" x14ac:dyDescent="0.3">
      <c r="A60" s="42" t="s">
        <v>29</v>
      </c>
      <c r="B60" s="470" t="s">
        <v>126</v>
      </c>
      <c r="C60" s="43"/>
      <c r="E60" s="471">
        <v>42284</v>
      </c>
      <c r="F60" s="2"/>
      <c r="G60" s="44"/>
    </row>
    <row r="61" spans="1:7" ht="15" customHeight="1" x14ac:dyDescent="0.3">
      <c r="A61" s="42" t="s">
        <v>30</v>
      </c>
      <c r="B61" s="45"/>
      <c r="C61" s="45"/>
      <c r="E61" s="45"/>
      <c r="F61" s="2"/>
      <c r="G61" s="4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Layout" topLeftCell="A53" zoomScale="50" zoomScaleNormal="40" zoomScalePageLayoutView="50" workbookViewId="0">
      <selection activeCell="H72" sqref="H72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75" t="s">
        <v>31</v>
      </c>
      <c r="B1" s="475"/>
      <c r="C1" s="475"/>
      <c r="D1" s="475"/>
      <c r="E1" s="475"/>
      <c r="F1" s="475"/>
      <c r="G1" s="475"/>
      <c r="H1" s="475"/>
      <c r="I1" s="475"/>
    </row>
    <row r="2" spans="1:9" ht="18.75" customHeight="1" x14ac:dyDescent="0.25">
      <c r="A2" s="475"/>
      <c r="B2" s="475"/>
      <c r="C2" s="475"/>
      <c r="D2" s="475"/>
      <c r="E2" s="475"/>
      <c r="F2" s="475"/>
      <c r="G2" s="475"/>
      <c r="H2" s="475"/>
      <c r="I2" s="475"/>
    </row>
    <row r="3" spans="1:9" ht="18.75" customHeight="1" x14ac:dyDescent="0.25">
      <c r="A3" s="475"/>
      <c r="B3" s="475"/>
      <c r="C3" s="475"/>
      <c r="D3" s="475"/>
      <c r="E3" s="475"/>
      <c r="F3" s="475"/>
      <c r="G3" s="475"/>
      <c r="H3" s="475"/>
      <c r="I3" s="475"/>
    </row>
    <row r="4" spans="1:9" ht="18.75" customHeight="1" x14ac:dyDescent="0.25">
      <c r="A4" s="475"/>
      <c r="B4" s="475"/>
      <c r="C4" s="475"/>
      <c r="D4" s="475"/>
      <c r="E4" s="475"/>
      <c r="F4" s="475"/>
      <c r="G4" s="475"/>
      <c r="H4" s="475"/>
      <c r="I4" s="475"/>
    </row>
    <row r="5" spans="1:9" ht="18.75" customHeight="1" x14ac:dyDescent="0.25">
      <c r="A5" s="475"/>
      <c r="B5" s="475"/>
      <c r="C5" s="475"/>
      <c r="D5" s="475"/>
      <c r="E5" s="475"/>
      <c r="F5" s="475"/>
      <c r="G5" s="475"/>
      <c r="H5" s="475"/>
      <c r="I5" s="475"/>
    </row>
    <row r="6" spans="1:9" ht="18.75" customHeight="1" x14ac:dyDescent="0.25">
      <c r="A6" s="475"/>
      <c r="B6" s="475"/>
      <c r="C6" s="475"/>
      <c r="D6" s="475"/>
      <c r="E6" s="475"/>
      <c r="F6" s="475"/>
      <c r="G6" s="475"/>
      <c r="H6" s="475"/>
      <c r="I6" s="475"/>
    </row>
    <row r="7" spans="1:9" ht="18.75" customHeight="1" x14ac:dyDescent="0.25">
      <c r="A7" s="475"/>
      <c r="B7" s="475"/>
      <c r="C7" s="475"/>
      <c r="D7" s="475"/>
      <c r="E7" s="475"/>
      <c r="F7" s="475"/>
      <c r="G7" s="475"/>
      <c r="H7" s="475"/>
      <c r="I7" s="475"/>
    </row>
    <row r="8" spans="1:9" x14ac:dyDescent="0.25">
      <c r="A8" s="476" t="s">
        <v>32</v>
      </c>
      <c r="B8" s="476"/>
      <c r="C8" s="476"/>
      <c r="D8" s="476"/>
      <c r="E8" s="476"/>
      <c r="F8" s="476"/>
      <c r="G8" s="476"/>
      <c r="H8" s="476"/>
      <c r="I8" s="476"/>
    </row>
    <row r="9" spans="1:9" x14ac:dyDescent="0.25">
      <c r="A9" s="476"/>
      <c r="B9" s="476"/>
      <c r="C9" s="476"/>
      <c r="D9" s="476"/>
      <c r="E9" s="476"/>
      <c r="F9" s="476"/>
      <c r="G9" s="476"/>
      <c r="H9" s="476"/>
      <c r="I9" s="476"/>
    </row>
    <row r="10" spans="1:9" x14ac:dyDescent="0.25">
      <c r="A10" s="476"/>
      <c r="B10" s="476"/>
      <c r="C10" s="476"/>
      <c r="D10" s="476"/>
      <c r="E10" s="476"/>
      <c r="F10" s="476"/>
      <c r="G10" s="476"/>
      <c r="H10" s="476"/>
      <c r="I10" s="476"/>
    </row>
    <row r="11" spans="1:9" x14ac:dyDescent="0.25">
      <c r="A11" s="476"/>
      <c r="B11" s="476"/>
      <c r="C11" s="476"/>
      <c r="D11" s="476"/>
      <c r="E11" s="476"/>
      <c r="F11" s="476"/>
      <c r="G11" s="476"/>
      <c r="H11" s="476"/>
      <c r="I11" s="476"/>
    </row>
    <row r="12" spans="1:9" x14ac:dyDescent="0.25">
      <c r="A12" s="476"/>
      <c r="B12" s="476"/>
      <c r="C12" s="476"/>
      <c r="D12" s="476"/>
      <c r="E12" s="476"/>
      <c r="F12" s="476"/>
      <c r="G12" s="476"/>
      <c r="H12" s="476"/>
      <c r="I12" s="476"/>
    </row>
    <row r="13" spans="1:9" x14ac:dyDescent="0.25">
      <c r="A13" s="476"/>
      <c r="B13" s="476"/>
      <c r="C13" s="476"/>
      <c r="D13" s="476"/>
      <c r="E13" s="476"/>
      <c r="F13" s="476"/>
      <c r="G13" s="476"/>
      <c r="H13" s="476"/>
      <c r="I13" s="476"/>
    </row>
    <row r="14" spans="1:9" x14ac:dyDescent="0.25">
      <c r="A14" s="476"/>
      <c r="B14" s="476"/>
      <c r="C14" s="476"/>
      <c r="D14" s="476"/>
      <c r="E14" s="476"/>
      <c r="F14" s="476"/>
      <c r="G14" s="476"/>
      <c r="H14" s="476"/>
      <c r="I14" s="476"/>
    </row>
    <row r="15" spans="1:9" ht="19.5" customHeight="1" x14ac:dyDescent="0.3">
      <c r="A15" s="47"/>
    </row>
    <row r="16" spans="1:9" ht="19.5" customHeight="1" x14ac:dyDescent="0.3">
      <c r="A16" s="510" t="s">
        <v>33</v>
      </c>
      <c r="B16" s="511"/>
      <c r="C16" s="511"/>
      <c r="D16" s="511"/>
      <c r="E16" s="511"/>
      <c r="F16" s="511"/>
      <c r="G16" s="511"/>
      <c r="H16" s="512"/>
    </row>
    <row r="17" spans="1:14" ht="20.25" customHeight="1" x14ac:dyDescent="0.25">
      <c r="A17" s="513" t="s">
        <v>34</v>
      </c>
      <c r="B17" s="513"/>
      <c r="C17" s="513"/>
      <c r="D17" s="513"/>
      <c r="E17" s="513"/>
      <c r="F17" s="513"/>
      <c r="G17" s="513"/>
      <c r="H17" s="513"/>
    </row>
    <row r="18" spans="1:14" ht="26.25" customHeight="1" x14ac:dyDescent="0.4">
      <c r="A18" s="49" t="s">
        <v>35</v>
      </c>
      <c r="B18" s="509" t="s">
        <v>5</v>
      </c>
      <c r="C18" s="509"/>
      <c r="D18" s="219"/>
      <c r="E18" s="50"/>
      <c r="F18" s="51"/>
      <c r="G18" s="51"/>
      <c r="H18" s="51"/>
    </row>
    <row r="19" spans="1:14" ht="26.25" customHeight="1" x14ac:dyDescent="0.4">
      <c r="A19" s="49" t="s">
        <v>36</v>
      </c>
      <c r="B19" s="52" t="s">
        <v>7</v>
      </c>
      <c r="C19" s="221">
        <v>1</v>
      </c>
      <c r="D19" s="51"/>
      <c r="E19" s="51"/>
      <c r="F19" s="51"/>
      <c r="G19" s="51"/>
      <c r="H19" s="51"/>
    </row>
    <row r="20" spans="1:14" ht="26.25" customHeight="1" x14ac:dyDescent="0.4">
      <c r="A20" s="49" t="s">
        <v>37</v>
      </c>
      <c r="B20" s="514" t="s">
        <v>9</v>
      </c>
      <c r="C20" s="514"/>
      <c r="D20" s="51"/>
      <c r="E20" s="51"/>
      <c r="F20" s="51"/>
      <c r="G20" s="51"/>
      <c r="H20" s="51"/>
    </row>
    <row r="21" spans="1:14" ht="26.25" customHeight="1" x14ac:dyDescent="0.4">
      <c r="A21" s="49" t="s">
        <v>38</v>
      </c>
      <c r="B21" s="514" t="s">
        <v>11</v>
      </c>
      <c r="C21" s="514"/>
      <c r="D21" s="514"/>
      <c r="E21" s="514"/>
      <c r="F21" s="514"/>
      <c r="G21" s="514"/>
      <c r="H21" s="514"/>
      <c r="I21" s="53"/>
    </row>
    <row r="22" spans="1:14" ht="26.25" customHeight="1" x14ac:dyDescent="0.4">
      <c r="A22" s="49" t="s">
        <v>39</v>
      </c>
      <c r="B22" s="54">
        <v>42230</v>
      </c>
      <c r="C22" s="51"/>
      <c r="D22" s="51"/>
      <c r="E22" s="51"/>
      <c r="F22" s="51"/>
      <c r="G22" s="51"/>
      <c r="H22" s="51"/>
    </row>
    <row r="23" spans="1:14" ht="26.25" customHeight="1" x14ac:dyDescent="0.4">
      <c r="A23" s="49" t="s">
        <v>40</v>
      </c>
      <c r="B23" s="54">
        <v>42233</v>
      </c>
      <c r="C23" s="51"/>
      <c r="D23" s="51"/>
      <c r="E23" s="51"/>
      <c r="F23" s="51"/>
      <c r="G23" s="51"/>
      <c r="H23" s="51"/>
    </row>
    <row r="24" spans="1:14" ht="18.75" x14ac:dyDescent="0.3">
      <c r="A24" s="49"/>
      <c r="B24" s="55"/>
    </row>
    <row r="25" spans="1:14" ht="18.75" x14ac:dyDescent="0.3">
      <c r="A25" s="56" t="s">
        <v>1</v>
      </c>
      <c r="B25" s="55"/>
    </row>
    <row r="26" spans="1:14" ht="26.25" customHeight="1" x14ac:dyDescent="0.4">
      <c r="A26" s="57" t="s">
        <v>4</v>
      </c>
      <c r="B26" s="508" t="s">
        <v>125</v>
      </c>
      <c r="C26" s="509"/>
    </row>
    <row r="27" spans="1:14" ht="26.25" customHeight="1" x14ac:dyDescent="0.4">
      <c r="A27" s="58" t="s">
        <v>41</v>
      </c>
      <c r="B27" s="506"/>
      <c r="C27" s="506"/>
    </row>
    <row r="28" spans="1:14" ht="27" customHeight="1" x14ac:dyDescent="0.4">
      <c r="A28" s="58" t="s">
        <v>6</v>
      </c>
      <c r="B28" s="59">
        <v>98.7</v>
      </c>
    </row>
    <row r="29" spans="1:14" s="14" customFormat="1" ht="27" customHeight="1" x14ac:dyDescent="0.4">
      <c r="A29" s="58" t="s">
        <v>42</v>
      </c>
      <c r="B29" s="60">
        <v>0</v>
      </c>
      <c r="C29" s="483" t="s">
        <v>43</v>
      </c>
      <c r="D29" s="484"/>
      <c r="E29" s="484"/>
      <c r="F29" s="484"/>
      <c r="G29" s="485"/>
      <c r="I29" s="61"/>
      <c r="J29" s="61"/>
      <c r="K29" s="61"/>
      <c r="L29" s="61"/>
    </row>
    <row r="30" spans="1:14" s="14" customFormat="1" ht="19.5" customHeight="1" x14ac:dyDescent="0.3">
      <c r="A30" s="58" t="s">
        <v>44</v>
      </c>
      <c r="B30" s="62">
        <f>B28-B29</f>
        <v>98.7</v>
      </c>
      <c r="C30" s="63"/>
      <c r="D30" s="63"/>
      <c r="E30" s="63"/>
      <c r="F30" s="63"/>
      <c r="G30" s="64"/>
      <c r="I30" s="61"/>
      <c r="J30" s="61"/>
      <c r="K30" s="61"/>
      <c r="L30" s="61"/>
    </row>
    <row r="31" spans="1:14" s="14" customFormat="1" ht="27" customHeight="1" x14ac:dyDescent="0.4">
      <c r="A31" s="58" t="s">
        <v>45</v>
      </c>
      <c r="B31" s="65">
        <v>1</v>
      </c>
      <c r="C31" s="486" t="s">
        <v>46</v>
      </c>
      <c r="D31" s="487"/>
      <c r="E31" s="487"/>
      <c r="F31" s="487"/>
      <c r="G31" s="487"/>
      <c r="H31" s="488"/>
      <c r="I31" s="61"/>
      <c r="J31" s="61"/>
      <c r="K31" s="61"/>
      <c r="L31" s="61"/>
    </row>
    <row r="32" spans="1:14" s="14" customFormat="1" ht="27" customHeight="1" x14ac:dyDescent="0.4">
      <c r="A32" s="58" t="s">
        <v>47</v>
      </c>
      <c r="B32" s="65">
        <v>1</v>
      </c>
      <c r="C32" s="486" t="s">
        <v>48</v>
      </c>
      <c r="D32" s="487"/>
      <c r="E32" s="487"/>
      <c r="F32" s="487"/>
      <c r="G32" s="487"/>
      <c r="H32" s="488"/>
      <c r="I32" s="61"/>
      <c r="J32" s="61"/>
      <c r="K32" s="61"/>
      <c r="L32" s="66"/>
      <c r="M32" s="66"/>
      <c r="N32" s="67"/>
    </row>
    <row r="33" spans="1:14" s="14" customFormat="1" ht="17.25" customHeight="1" x14ac:dyDescent="0.3">
      <c r="A33" s="58"/>
      <c r="B33" s="68"/>
      <c r="C33" s="69"/>
      <c r="D33" s="69"/>
      <c r="E33" s="69"/>
      <c r="F33" s="69"/>
      <c r="G33" s="69"/>
      <c r="H33" s="69"/>
      <c r="I33" s="61"/>
      <c r="J33" s="61"/>
      <c r="K33" s="61"/>
      <c r="L33" s="66"/>
      <c r="M33" s="66"/>
      <c r="N33" s="67"/>
    </row>
    <row r="34" spans="1:14" s="14" customFormat="1" ht="18.75" x14ac:dyDescent="0.3">
      <c r="A34" s="58" t="s">
        <v>49</v>
      </c>
      <c r="B34" s="70">
        <v>1</v>
      </c>
      <c r="C34" s="48" t="s">
        <v>50</v>
      </c>
      <c r="D34" s="48"/>
      <c r="E34" s="48"/>
      <c r="F34" s="48"/>
      <c r="G34" s="48"/>
      <c r="I34" s="61"/>
      <c r="J34" s="61"/>
      <c r="K34" s="61"/>
      <c r="L34" s="66"/>
      <c r="M34" s="66"/>
      <c r="N34" s="67"/>
    </row>
    <row r="35" spans="1:14" s="14" customFormat="1" ht="19.5" customHeight="1" x14ac:dyDescent="0.3">
      <c r="A35" s="58"/>
      <c r="B35" s="62"/>
      <c r="G35" s="48"/>
      <c r="I35" s="61"/>
      <c r="J35" s="61"/>
      <c r="K35" s="61"/>
      <c r="L35" s="66"/>
      <c r="M35" s="66"/>
      <c r="N35" s="67"/>
    </row>
    <row r="36" spans="1:14" s="14" customFormat="1" ht="27" customHeight="1" x14ac:dyDescent="0.4">
      <c r="A36" s="71" t="s">
        <v>51</v>
      </c>
      <c r="B36" s="72">
        <v>10</v>
      </c>
      <c r="C36" s="48"/>
      <c r="D36" s="489" t="s">
        <v>52</v>
      </c>
      <c r="E36" s="507"/>
      <c r="F36" s="489" t="s">
        <v>53</v>
      </c>
      <c r="G36" s="490"/>
      <c r="J36" s="61"/>
      <c r="K36" s="61"/>
      <c r="L36" s="66"/>
      <c r="M36" s="66"/>
      <c r="N36" s="67"/>
    </row>
    <row r="37" spans="1:14" s="14" customFormat="1" ht="27" customHeight="1" x14ac:dyDescent="0.4">
      <c r="A37" s="73" t="s">
        <v>54</v>
      </c>
      <c r="B37" s="74">
        <v>1</v>
      </c>
      <c r="C37" s="75" t="s">
        <v>55</v>
      </c>
      <c r="D37" s="76" t="s">
        <v>56</v>
      </c>
      <c r="E37" s="77" t="s">
        <v>57</v>
      </c>
      <c r="F37" s="76" t="s">
        <v>56</v>
      </c>
      <c r="G37" s="78" t="s">
        <v>57</v>
      </c>
      <c r="I37" s="79" t="s">
        <v>58</v>
      </c>
      <c r="J37" s="61"/>
      <c r="K37" s="61"/>
      <c r="L37" s="66"/>
      <c r="M37" s="66"/>
      <c r="N37" s="67"/>
    </row>
    <row r="38" spans="1:14" s="14" customFormat="1" ht="26.25" customHeight="1" x14ac:dyDescent="0.4">
      <c r="A38" s="73" t="s">
        <v>59</v>
      </c>
      <c r="B38" s="74">
        <v>1</v>
      </c>
      <c r="C38" s="80">
        <v>1</v>
      </c>
      <c r="D38" s="466">
        <v>2482137</v>
      </c>
      <c r="E38" s="82">
        <f>IF(ISBLANK(D38),"-",$D$48/$D$45*D38)</f>
        <v>2625083.285212988</v>
      </c>
      <c r="F38" s="466">
        <v>2237577</v>
      </c>
      <c r="G38" s="83">
        <f>IF(ISBLANK(F38),"-",$D$48/$F$45*F38)</f>
        <v>2614819.645004435</v>
      </c>
      <c r="I38" s="84"/>
      <c r="J38" s="61"/>
      <c r="K38" s="61"/>
      <c r="L38" s="66"/>
      <c r="M38" s="66"/>
      <c r="N38" s="67"/>
    </row>
    <row r="39" spans="1:14" s="14" customFormat="1" ht="26.25" customHeight="1" x14ac:dyDescent="0.4">
      <c r="A39" s="73" t="s">
        <v>60</v>
      </c>
      <c r="B39" s="74">
        <v>1</v>
      </c>
      <c r="C39" s="85">
        <v>2</v>
      </c>
      <c r="D39" s="467">
        <v>2525441</v>
      </c>
      <c r="E39" s="87">
        <f>IF(ISBLANK(D39),"-",$D$48/$D$45*D39)</f>
        <v>2670881.1628413638</v>
      </c>
      <c r="F39" s="467">
        <v>2257302</v>
      </c>
      <c r="G39" s="88">
        <f>IF(ISBLANK(F39),"-",$D$48/$F$45*F39)</f>
        <v>2637870.1668402031</v>
      </c>
      <c r="I39" s="491">
        <f>ABS((F43/D43*D42)-F42)/D42</f>
        <v>6.9261847782907662E-3</v>
      </c>
      <c r="J39" s="61"/>
      <c r="K39" s="61"/>
      <c r="L39" s="66"/>
      <c r="M39" s="66"/>
      <c r="N39" s="67"/>
    </row>
    <row r="40" spans="1:14" ht="26.25" customHeight="1" x14ac:dyDescent="0.4">
      <c r="A40" s="73" t="s">
        <v>61</v>
      </c>
      <c r="B40" s="74">
        <v>1</v>
      </c>
      <c r="C40" s="85">
        <v>3</v>
      </c>
      <c r="D40" s="467">
        <v>2542482</v>
      </c>
      <c r="E40" s="87">
        <f>IF(ISBLANK(D40),"-",$D$48/$D$45*D40)</f>
        <v>2688903.5541369747</v>
      </c>
      <c r="F40" s="467">
        <v>2285711</v>
      </c>
      <c r="G40" s="88">
        <f>IF(ISBLANK(F40),"-",$D$48/$F$45*F40)</f>
        <v>2671068.7612550235</v>
      </c>
      <c r="I40" s="491"/>
      <c r="L40" s="66"/>
      <c r="M40" s="66"/>
      <c r="N40" s="89"/>
    </row>
    <row r="41" spans="1:14" ht="27" customHeight="1" x14ac:dyDescent="0.4">
      <c r="A41" s="73" t="s">
        <v>62</v>
      </c>
      <c r="B41" s="74">
        <v>1</v>
      </c>
      <c r="C41" s="90">
        <v>4</v>
      </c>
      <c r="D41" s="468"/>
      <c r="E41" s="92" t="str">
        <f>IF(ISBLANK(D41),"-",$D$48/$D$45*D41)</f>
        <v>-</v>
      </c>
      <c r="F41" s="468"/>
      <c r="G41" s="93" t="str">
        <f>IF(ISBLANK(F41),"-",$D$48/$F$45*F41)</f>
        <v>-</v>
      </c>
      <c r="I41" s="94"/>
      <c r="L41" s="66"/>
      <c r="M41" s="66"/>
      <c r="N41" s="89"/>
    </row>
    <row r="42" spans="1:14" ht="27" customHeight="1" x14ac:dyDescent="0.4">
      <c r="A42" s="73" t="s">
        <v>63</v>
      </c>
      <c r="B42" s="74">
        <v>1</v>
      </c>
      <c r="C42" s="95" t="s">
        <v>64</v>
      </c>
      <c r="D42" s="96">
        <f>AVERAGE(D38:D41)</f>
        <v>2516686.6666666665</v>
      </c>
      <c r="E42" s="97">
        <f>AVERAGE(E38:E41)</f>
        <v>2661622.6673971089</v>
      </c>
      <c r="F42" s="96">
        <f>AVERAGE(F38:F41)</f>
        <v>2260196.6666666665</v>
      </c>
      <c r="G42" s="98">
        <f>AVERAGE(G38:G41)</f>
        <v>2641252.8576998874</v>
      </c>
      <c r="H42" s="99"/>
    </row>
    <row r="43" spans="1:14" ht="26.25" customHeight="1" x14ac:dyDescent="0.4">
      <c r="A43" s="73" t="s">
        <v>65</v>
      </c>
      <c r="B43" s="74">
        <v>1</v>
      </c>
      <c r="C43" s="100" t="s">
        <v>66</v>
      </c>
      <c r="D43" s="101">
        <v>9.58</v>
      </c>
      <c r="E43" s="89"/>
      <c r="F43" s="101">
        <v>8.67</v>
      </c>
      <c r="H43" s="99"/>
    </row>
    <row r="44" spans="1:14" ht="26.25" customHeight="1" x14ac:dyDescent="0.4">
      <c r="A44" s="73" t="s">
        <v>67</v>
      </c>
      <c r="B44" s="74">
        <v>1</v>
      </c>
      <c r="C44" s="102" t="s">
        <v>68</v>
      </c>
      <c r="D44" s="103">
        <f>D43*$B$34</f>
        <v>9.58</v>
      </c>
      <c r="E44" s="104"/>
      <c r="F44" s="103">
        <f>F43*$B$34</f>
        <v>8.67</v>
      </c>
      <c r="H44" s="99"/>
    </row>
    <row r="45" spans="1:14" ht="19.5" customHeight="1" x14ac:dyDescent="0.3">
      <c r="A45" s="73" t="s">
        <v>69</v>
      </c>
      <c r="B45" s="105">
        <f>(B44/B43)*(B42/B41)*(B40/B39)*(B38/B37)*B36</f>
        <v>10</v>
      </c>
      <c r="C45" s="102" t="s">
        <v>70</v>
      </c>
      <c r="D45" s="106">
        <f>D44*$B$30/100</f>
        <v>9.4554600000000004</v>
      </c>
      <c r="E45" s="107"/>
      <c r="F45" s="106">
        <f>F44*$B$30/100</f>
        <v>8.5572900000000001</v>
      </c>
      <c r="H45" s="99"/>
    </row>
    <row r="46" spans="1:14" ht="19.5" customHeight="1" x14ac:dyDescent="0.3">
      <c r="A46" s="477" t="s">
        <v>71</v>
      </c>
      <c r="B46" s="478"/>
      <c r="C46" s="102" t="s">
        <v>72</v>
      </c>
      <c r="D46" s="108">
        <f>D45/$B$45</f>
        <v>0.945546</v>
      </c>
      <c r="E46" s="109"/>
      <c r="F46" s="110">
        <f>F45/$B$45</f>
        <v>0.85572899999999996</v>
      </c>
      <c r="H46" s="99"/>
    </row>
    <row r="47" spans="1:14" ht="27" customHeight="1" x14ac:dyDescent="0.4">
      <c r="A47" s="479"/>
      <c r="B47" s="480"/>
      <c r="C47" s="111" t="s">
        <v>73</v>
      </c>
      <c r="D47" s="112">
        <v>1</v>
      </c>
      <c r="E47" s="113"/>
      <c r="F47" s="109"/>
      <c r="H47" s="99"/>
    </row>
    <row r="48" spans="1:14" ht="18.75" x14ac:dyDescent="0.3">
      <c r="C48" s="114" t="s">
        <v>74</v>
      </c>
      <c r="D48" s="106">
        <f>D47*$B$45</f>
        <v>10</v>
      </c>
      <c r="F48" s="115"/>
      <c r="H48" s="99"/>
    </row>
    <row r="49" spans="1:12" ht="19.5" customHeight="1" x14ac:dyDescent="0.3">
      <c r="C49" s="116" t="s">
        <v>75</v>
      </c>
      <c r="D49" s="117">
        <f>D48/B34</f>
        <v>10</v>
      </c>
      <c r="F49" s="115"/>
      <c r="H49" s="99"/>
    </row>
    <row r="50" spans="1:12" ht="18.75" x14ac:dyDescent="0.3">
      <c r="C50" s="71" t="s">
        <v>76</v>
      </c>
      <c r="D50" s="118">
        <f>AVERAGE(E38:E41,G38:G41)</f>
        <v>2651437.7625484983</v>
      </c>
      <c r="F50" s="119"/>
      <c r="H50" s="99"/>
    </row>
    <row r="51" spans="1:12" ht="18.75" x14ac:dyDescent="0.3">
      <c r="C51" s="73" t="s">
        <v>77</v>
      </c>
      <c r="D51" s="120">
        <f>STDEV(E38:E41,G38:G41)/D50</f>
        <v>1.1171183043850227E-2</v>
      </c>
      <c r="F51" s="119"/>
      <c r="H51" s="99"/>
    </row>
    <row r="52" spans="1:12" ht="19.5" customHeight="1" x14ac:dyDescent="0.3">
      <c r="C52" s="121" t="s">
        <v>20</v>
      </c>
      <c r="D52" s="122">
        <f>COUNT(E38:E41,G38:G41)</f>
        <v>6</v>
      </c>
      <c r="F52" s="119"/>
    </row>
    <row r="54" spans="1:12" ht="18.75" x14ac:dyDescent="0.3">
      <c r="A54" s="123" t="s">
        <v>1</v>
      </c>
      <c r="B54" s="124" t="s">
        <v>78</v>
      </c>
    </row>
    <row r="55" spans="1:12" ht="18.75" x14ac:dyDescent="0.3">
      <c r="A55" s="48" t="s">
        <v>79</v>
      </c>
      <c r="B55" s="125" t="str">
        <f>B21</f>
        <v>Dihydroartemisinin 40 mg, Piperaquine Phosphate 320 mg</v>
      </c>
    </row>
    <row r="56" spans="1:12" ht="26.25" customHeight="1" x14ac:dyDescent="0.4">
      <c r="A56" s="126" t="s">
        <v>80</v>
      </c>
      <c r="B56" s="127">
        <v>40</v>
      </c>
      <c r="C56" s="48" t="str">
        <f>B20</f>
        <v>Dihydroartemisinin , Piperaquine Phosphate</v>
      </c>
      <c r="H56" s="128"/>
    </row>
    <row r="57" spans="1:12" ht="18.75" x14ac:dyDescent="0.3">
      <c r="A57" s="125" t="s">
        <v>81</v>
      </c>
      <c r="B57" s="220">
        <f>Uniformity!C46</f>
        <v>565.18049999999994</v>
      </c>
      <c r="H57" s="128"/>
    </row>
    <row r="58" spans="1:12" ht="19.5" customHeight="1" x14ac:dyDescent="0.3">
      <c r="H58" s="128"/>
    </row>
    <row r="59" spans="1:12" s="14" customFormat="1" ht="27" customHeight="1" x14ac:dyDescent="0.4">
      <c r="A59" s="71" t="s">
        <v>82</v>
      </c>
      <c r="B59" s="72">
        <v>50</v>
      </c>
      <c r="C59" s="48"/>
      <c r="D59" s="129" t="s">
        <v>83</v>
      </c>
      <c r="E59" s="130" t="s">
        <v>55</v>
      </c>
      <c r="F59" s="130" t="s">
        <v>56</v>
      </c>
      <c r="G59" s="130" t="s">
        <v>84</v>
      </c>
      <c r="H59" s="75" t="s">
        <v>85</v>
      </c>
      <c r="L59" s="61"/>
    </row>
    <row r="60" spans="1:12" s="14" customFormat="1" ht="26.25" customHeight="1" x14ac:dyDescent="0.4">
      <c r="A60" s="73" t="s">
        <v>86</v>
      </c>
      <c r="B60" s="74">
        <v>1</v>
      </c>
      <c r="C60" s="494" t="s">
        <v>87</v>
      </c>
      <c r="D60" s="497">
        <v>556.51</v>
      </c>
      <c r="E60" s="131">
        <v>1</v>
      </c>
      <c r="F60" s="132">
        <v>2222570</v>
      </c>
      <c r="G60" s="222">
        <f>IF(ISBLANK(F60),"-",(F60/$D$50*$D$47*$B$68)*($B$57/$D$60))</f>
        <v>42.565546301335331</v>
      </c>
      <c r="H60" s="133">
        <f>IF(ISBLANK(F60),"-",G60/$B$56)</f>
        <v>1.0641386575333833</v>
      </c>
      <c r="L60" s="61"/>
    </row>
    <row r="61" spans="1:12" s="14" customFormat="1" ht="26.25" customHeight="1" x14ac:dyDescent="0.4">
      <c r="A61" s="73" t="s">
        <v>88</v>
      </c>
      <c r="B61" s="74">
        <v>1</v>
      </c>
      <c r="C61" s="495"/>
      <c r="D61" s="498"/>
      <c r="E61" s="134">
        <v>2</v>
      </c>
      <c r="F61" s="86">
        <v>2243225</v>
      </c>
      <c r="G61" s="223">
        <f>IF(ISBLANK(F61),"-",(F61/$D$50*$D$47*$B$68)*($B$57/$D$60))</f>
        <v>42.961120505456726</v>
      </c>
      <c r="H61" s="135">
        <f t="shared" ref="H61:H71" si="0">IF(ISBLANK(F61),"-",G61/$B$56)</f>
        <v>1.0740280126364181</v>
      </c>
      <c r="L61" s="61"/>
    </row>
    <row r="62" spans="1:12" s="14" customFormat="1" ht="26.25" customHeight="1" x14ac:dyDescent="0.4">
      <c r="A62" s="73" t="s">
        <v>89</v>
      </c>
      <c r="B62" s="74">
        <v>1</v>
      </c>
      <c r="C62" s="495"/>
      <c r="D62" s="498"/>
      <c r="E62" s="134">
        <v>3</v>
      </c>
      <c r="F62" s="136">
        <v>2254670</v>
      </c>
      <c r="G62" s="223">
        <f>IF(ISBLANK(F62),"-",(F62/$D$50*$D$47*$B$68)*($B$57/$D$60))</f>
        <v>43.180309407232052</v>
      </c>
      <c r="H62" s="135">
        <f t="shared" si="0"/>
        <v>1.0795077351808013</v>
      </c>
      <c r="L62" s="61"/>
    </row>
    <row r="63" spans="1:12" ht="27" customHeight="1" x14ac:dyDescent="0.4">
      <c r="A63" s="73" t="s">
        <v>90</v>
      </c>
      <c r="B63" s="74">
        <v>1</v>
      </c>
      <c r="C63" s="505"/>
      <c r="D63" s="499"/>
      <c r="E63" s="137">
        <v>4</v>
      </c>
      <c r="F63" s="138"/>
      <c r="G63" s="223" t="str">
        <f>IF(ISBLANK(F63),"-",(F63/$D$50*$D$47*$B$68)*($B$57/$D$60))</f>
        <v>-</v>
      </c>
      <c r="H63" s="135" t="str">
        <f t="shared" si="0"/>
        <v>-</v>
      </c>
    </row>
    <row r="64" spans="1:12" ht="26.25" customHeight="1" x14ac:dyDescent="0.4">
      <c r="A64" s="73" t="s">
        <v>91</v>
      </c>
      <c r="B64" s="74">
        <v>1</v>
      </c>
      <c r="C64" s="494" t="s">
        <v>92</v>
      </c>
      <c r="D64" s="497">
        <v>559.32000000000005</v>
      </c>
      <c r="E64" s="131">
        <v>1</v>
      </c>
      <c r="F64" s="132">
        <v>2232282</v>
      </c>
      <c r="G64" s="224">
        <f>IF(ISBLANK(F64),"-",(F64/$D$50*$D$47*$B$68)*($B$57/$D$64))</f>
        <v>42.536763700593454</v>
      </c>
      <c r="H64" s="139">
        <f>IF(ISBLANK(F64),"-",G64/$B$56)</f>
        <v>1.0634190925148364</v>
      </c>
    </row>
    <row r="65" spans="1:8" ht="26.25" customHeight="1" x14ac:dyDescent="0.4">
      <c r="A65" s="73" t="s">
        <v>93</v>
      </c>
      <c r="B65" s="74">
        <v>1</v>
      </c>
      <c r="C65" s="495"/>
      <c r="D65" s="498"/>
      <c r="E65" s="134">
        <v>2</v>
      </c>
      <c r="F65" s="86">
        <v>2235147</v>
      </c>
      <c r="G65" s="225">
        <f>IF(ISBLANK(F65),"-",(F65/$D$50*$D$47*$B$68)*($B$57/$D$64))</f>
        <v>42.591357084405267</v>
      </c>
      <c r="H65" s="140">
        <f t="shared" si="0"/>
        <v>1.0647839271101316</v>
      </c>
    </row>
    <row r="66" spans="1:8" ht="26.25" customHeight="1" x14ac:dyDescent="0.4">
      <c r="A66" s="73" t="s">
        <v>94</v>
      </c>
      <c r="B66" s="74">
        <v>1</v>
      </c>
      <c r="C66" s="495"/>
      <c r="D66" s="498"/>
      <c r="E66" s="134">
        <v>3</v>
      </c>
      <c r="F66" s="86">
        <v>2266629</v>
      </c>
      <c r="G66" s="225">
        <f>IF(ISBLANK(F66),"-",(F66/$D$50*$D$47*$B$68)*($B$57/$D$64))</f>
        <v>43.191255482019045</v>
      </c>
      <c r="H66" s="140">
        <f t="shared" si="0"/>
        <v>1.0797813870504762</v>
      </c>
    </row>
    <row r="67" spans="1:8" ht="27" customHeight="1" x14ac:dyDescent="0.4">
      <c r="A67" s="73" t="s">
        <v>95</v>
      </c>
      <c r="B67" s="74">
        <v>1</v>
      </c>
      <c r="C67" s="505"/>
      <c r="D67" s="499"/>
      <c r="E67" s="137">
        <v>4</v>
      </c>
      <c r="F67" s="138"/>
      <c r="G67" s="226" t="str">
        <f>IF(ISBLANK(F67),"-",(F67/$D$50*$D$47*$B$68)*($B$57/$D$64))</f>
        <v>-</v>
      </c>
      <c r="H67" s="141" t="str">
        <f t="shared" si="0"/>
        <v>-</v>
      </c>
    </row>
    <row r="68" spans="1:8" ht="26.25" customHeight="1" x14ac:dyDescent="0.4">
      <c r="A68" s="73" t="s">
        <v>96</v>
      </c>
      <c r="B68" s="142">
        <f>(B67/B66)*(B65/B64)*(B63/B62)*(B61/B60)*B59</f>
        <v>50</v>
      </c>
      <c r="C68" s="494" t="s">
        <v>97</v>
      </c>
      <c r="D68" s="497">
        <v>558.69000000000005</v>
      </c>
      <c r="E68" s="131">
        <v>1</v>
      </c>
      <c r="F68" s="132">
        <v>2206539</v>
      </c>
      <c r="G68" s="224">
        <f>IF(ISBLANK(F68),"-",(F68/$D$50*$D$47*$B$68)*($B$57/$D$68))</f>
        <v>42.093636482010318</v>
      </c>
      <c r="H68" s="135">
        <f>IF(ISBLANK(F68),"-",G68/$B$56)</f>
        <v>1.052340912050258</v>
      </c>
    </row>
    <row r="69" spans="1:8" ht="27" customHeight="1" x14ac:dyDescent="0.4">
      <c r="A69" s="121" t="s">
        <v>98</v>
      </c>
      <c r="B69" s="143">
        <f>(D47*B68)/B56*B57</f>
        <v>706.47562499999992</v>
      </c>
      <c r="C69" s="495"/>
      <c r="D69" s="498"/>
      <c r="E69" s="134">
        <v>2</v>
      </c>
      <c r="F69" s="86">
        <v>2208970</v>
      </c>
      <c r="G69" s="225">
        <f>IF(ISBLANK(F69),"-",(F69/$D$50*$D$47*$B$68)*($B$57/$D$68))</f>
        <v>42.140012109310696</v>
      </c>
      <c r="H69" s="135">
        <f t="shared" si="0"/>
        <v>1.0535003027327674</v>
      </c>
    </row>
    <row r="70" spans="1:8" ht="26.25" customHeight="1" x14ac:dyDescent="0.4">
      <c r="A70" s="500" t="s">
        <v>71</v>
      </c>
      <c r="B70" s="501"/>
      <c r="C70" s="495"/>
      <c r="D70" s="498"/>
      <c r="E70" s="134">
        <v>3</v>
      </c>
      <c r="F70" s="86">
        <v>2231693</v>
      </c>
      <c r="G70" s="225">
        <f>IF(ISBLANK(F70),"-",(F70/$D$50*$D$47*$B$68)*($B$57/$D$68))</f>
        <v>42.573493548696419</v>
      </c>
      <c r="H70" s="135">
        <f t="shared" si="0"/>
        <v>1.0643373387174104</v>
      </c>
    </row>
    <row r="71" spans="1:8" ht="27" customHeight="1" x14ac:dyDescent="0.4">
      <c r="A71" s="502"/>
      <c r="B71" s="503"/>
      <c r="C71" s="496"/>
      <c r="D71" s="499"/>
      <c r="E71" s="137">
        <v>4</v>
      </c>
      <c r="F71" s="138"/>
      <c r="G71" s="226" t="str">
        <f>IF(ISBLANK(F71),"-",(F71/$D$50*$D$47*$B$68)*($B$57/$D$68))</f>
        <v>-</v>
      </c>
      <c r="H71" s="144" t="str">
        <f t="shared" si="0"/>
        <v>-</v>
      </c>
    </row>
    <row r="72" spans="1:8" ht="26.25" customHeight="1" x14ac:dyDescent="0.4">
      <c r="A72" s="145"/>
      <c r="B72" s="145"/>
      <c r="C72" s="145"/>
      <c r="D72" s="145"/>
      <c r="E72" s="145"/>
      <c r="F72" s="146"/>
      <c r="G72" s="147" t="s">
        <v>64</v>
      </c>
      <c r="H72" s="148">
        <f>AVERAGE(H60:H71)</f>
        <v>1.0662041517251648</v>
      </c>
    </row>
    <row r="73" spans="1:8" ht="26.25" customHeight="1" x14ac:dyDescent="0.4">
      <c r="C73" s="145"/>
      <c r="D73" s="145"/>
      <c r="E73" s="145"/>
      <c r="F73" s="146"/>
      <c r="G73" s="149" t="s">
        <v>77</v>
      </c>
      <c r="H73" s="227">
        <f>STDEV(H60:H71)/H72</f>
        <v>9.3417194489057009E-3</v>
      </c>
    </row>
    <row r="74" spans="1:8" ht="27" customHeight="1" x14ac:dyDescent="0.4">
      <c r="A74" s="145"/>
      <c r="B74" s="145"/>
      <c r="C74" s="146"/>
      <c r="D74" s="146"/>
      <c r="E74" s="150"/>
      <c r="F74" s="146"/>
      <c r="G74" s="151" t="s">
        <v>20</v>
      </c>
      <c r="H74" s="152">
        <f>COUNT(H60:H71)</f>
        <v>9</v>
      </c>
    </row>
    <row r="76" spans="1:8" ht="26.25" customHeight="1" x14ac:dyDescent="0.4">
      <c r="A76" s="57" t="s">
        <v>99</v>
      </c>
      <c r="B76" s="153" t="s">
        <v>100</v>
      </c>
      <c r="C76" s="481" t="str">
        <f>B20</f>
        <v>Dihydroartemisinin , Piperaquine Phosphate</v>
      </c>
      <c r="D76" s="481"/>
      <c r="E76" s="154" t="s">
        <v>101</v>
      </c>
      <c r="F76" s="154"/>
      <c r="G76" s="155">
        <f>H72</f>
        <v>1.0662041517251648</v>
      </c>
      <c r="H76" s="156"/>
    </row>
    <row r="77" spans="1:8" ht="18.75" x14ac:dyDescent="0.3">
      <c r="A77" s="56" t="s">
        <v>102</v>
      </c>
      <c r="B77" s="56" t="s">
        <v>103</v>
      </c>
    </row>
    <row r="78" spans="1:8" ht="18.75" x14ac:dyDescent="0.3">
      <c r="A78" s="56"/>
      <c r="B78" s="56"/>
    </row>
    <row r="79" spans="1:8" ht="26.25" customHeight="1" x14ac:dyDescent="0.4">
      <c r="A79" s="57" t="s">
        <v>4</v>
      </c>
      <c r="B79" s="504" t="str">
        <f>B26</f>
        <v>Dihydroartemesinin</v>
      </c>
      <c r="C79" s="504"/>
    </row>
    <row r="80" spans="1:8" ht="26.25" customHeight="1" x14ac:dyDescent="0.4">
      <c r="A80" s="58" t="s">
        <v>41</v>
      </c>
      <c r="B80" s="504">
        <f>B27</f>
        <v>0</v>
      </c>
      <c r="C80" s="504"/>
    </row>
    <row r="81" spans="1:12" ht="27" customHeight="1" x14ac:dyDescent="0.4">
      <c r="A81" s="58" t="s">
        <v>6</v>
      </c>
      <c r="B81" s="157">
        <f>B28</f>
        <v>98.7</v>
      </c>
    </row>
    <row r="82" spans="1:12" s="14" customFormat="1" ht="27" customHeight="1" x14ac:dyDescent="0.4">
      <c r="A82" s="58" t="s">
        <v>42</v>
      </c>
      <c r="B82" s="60">
        <v>0</v>
      </c>
      <c r="C82" s="483" t="s">
        <v>43</v>
      </c>
      <c r="D82" s="484"/>
      <c r="E82" s="484"/>
      <c r="F82" s="484"/>
      <c r="G82" s="485"/>
      <c r="I82" s="61"/>
      <c r="J82" s="61"/>
      <c r="K82" s="61"/>
      <c r="L82" s="61"/>
    </row>
    <row r="83" spans="1:12" s="14" customFormat="1" ht="19.5" customHeight="1" x14ac:dyDescent="0.3">
      <c r="A83" s="58" t="s">
        <v>44</v>
      </c>
      <c r="B83" s="62">
        <f>B81-B82</f>
        <v>98.7</v>
      </c>
      <c r="C83" s="63"/>
      <c r="D83" s="63"/>
      <c r="E83" s="63"/>
      <c r="F83" s="63"/>
      <c r="G83" s="64"/>
      <c r="I83" s="61"/>
      <c r="J83" s="61"/>
      <c r="K83" s="61"/>
      <c r="L83" s="61"/>
    </row>
    <row r="84" spans="1:12" s="14" customFormat="1" ht="27" customHeight="1" x14ac:dyDescent="0.4">
      <c r="A84" s="58" t="s">
        <v>45</v>
      </c>
      <c r="B84" s="65">
        <v>1</v>
      </c>
      <c r="C84" s="486" t="s">
        <v>104</v>
      </c>
      <c r="D84" s="487"/>
      <c r="E84" s="487"/>
      <c r="F84" s="487"/>
      <c r="G84" s="487"/>
      <c r="H84" s="488"/>
      <c r="I84" s="61"/>
      <c r="J84" s="61"/>
      <c r="K84" s="61"/>
      <c r="L84" s="61"/>
    </row>
    <row r="85" spans="1:12" s="14" customFormat="1" ht="27" customHeight="1" x14ac:dyDescent="0.4">
      <c r="A85" s="58" t="s">
        <v>47</v>
      </c>
      <c r="B85" s="65">
        <v>1</v>
      </c>
      <c r="C85" s="486" t="s">
        <v>105</v>
      </c>
      <c r="D85" s="487"/>
      <c r="E85" s="487"/>
      <c r="F85" s="487"/>
      <c r="G85" s="487"/>
      <c r="H85" s="488"/>
      <c r="I85" s="61"/>
      <c r="J85" s="61"/>
      <c r="K85" s="61"/>
      <c r="L85" s="61"/>
    </row>
    <row r="86" spans="1:12" s="14" customFormat="1" ht="18.75" x14ac:dyDescent="0.3">
      <c r="A86" s="58"/>
      <c r="B86" s="68"/>
      <c r="C86" s="69"/>
      <c r="D86" s="69"/>
      <c r="E86" s="69"/>
      <c r="F86" s="69"/>
      <c r="G86" s="69"/>
      <c r="H86" s="69"/>
      <c r="I86" s="61"/>
      <c r="J86" s="61"/>
      <c r="K86" s="61"/>
      <c r="L86" s="61"/>
    </row>
    <row r="87" spans="1:12" s="14" customFormat="1" ht="18.75" x14ac:dyDescent="0.3">
      <c r="A87" s="58" t="s">
        <v>49</v>
      </c>
      <c r="B87" s="70">
        <f>B84/B85</f>
        <v>1</v>
      </c>
      <c r="C87" s="48" t="s">
        <v>50</v>
      </c>
      <c r="D87" s="48"/>
      <c r="E87" s="48"/>
      <c r="F87" s="48"/>
      <c r="G87" s="48"/>
      <c r="I87" s="61"/>
      <c r="J87" s="61"/>
      <c r="K87" s="61"/>
      <c r="L87" s="61"/>
    </row>
    <row r="88" spans="1:12" ht="19.5" customHeight="1" x14ac:dyDescent="0.3">
      <c r="A88" s="56"/>
      <c r="B88" s="56"/>
    </row>
    <row r="89" spans="1:12" ht="27" customHeight="1" x14ac:dyDescent="0.4">
      <c r="A89" s="71" t="s">
        <v>51</v>
      </c>
      <c r="B89" s="72">
        <v>10</v>
      </c>
      <c r="D89" s="158" t="s">
        <v>52</v>
      </c>
      <c r="E89" s="159"/>
      <c r="F89" s="489" t="s">
        <v>53</v>
      </c>
      <c r="G89" s="490"/>
    </row>
    <row r="90" spans="1:12" ht="27" customHeight="1" x14ac:dyDescent="0.4">
      <c r="A90" s="73" t="s">
        <v>54</v>
      </c>
      <c r="B90" s="74">
        <v>2</v>
      </c>
      <c r="C90" s="160" t="s">
        <v>55</v>
      </c>
      <c r="D90" s="76" t="s">
        <v>56</v>
      </c>
      <c r="E90" s="77" t="s">
        <v>57</v>
      </c>
      <c r="F90" s="76" t="s">
        <v>56</v>
      </c>
      <c r="G90" s="161" t="s">
        <v>57</v>
      </c>
      <c r="I90" s="79" t="s">
        <v>58</v>
      </c>
    </row>
    <row r="91" spans="1:12" ht="26.25" customHeight="1" x14ac:dyDescent="0.4">
      <c r="A91" s="73" t="s">
        <v>59</v>
      </c>
      <c r="B91" s="74">
        <v>25</v>
      </c>
      <c r="C91" s="162">
        <v>1</v>
      </c>
      <c r="D91" s="81">
        <v>1159010</v>
      </c>
      <c r="E91" s="82">
        <f>IF(ISBLANK(D91),"-",$D$101/$D$98*D91)</f>
        <v>1225757.3930829384</v>
      </c>
      <c r="F91" s="81">
        <v>1037308</v>
      </c>
      <c r="G91" s="83">
        <f>IF(ISBLANK(F91),"-",$D$101/$F$98*F91)</f>
        <v>1212192.177663723</v>
      </c>
      <c r="I91" s="84"/>
    </row>
    <row r="92" spans="1:12" ht="26.25" customHeight="1" x14ac:dyDescent="0.4">
      <c r="A92" s="73" t="s">
        <v>60</v>
      </c>
      <c r="B92" s="74">
        <v>1</v>
      </c>
      <c r="C92" s="146">
        <v>2</v>
      </c>
      <c r="D92" s="86">
        <v>1164656</v>
      </c>
      <c r="E92" s="87">
        <f>IF(ISBLANK(D92),"-",$D$101/$D$98*D92)</f>
        <v>1231728.5462579294</v>
      </c>
      <c r="F92" s="86">
        <v>1042469</v>
      </c>
      <c r="G92" s="88">
        <f>IF(ISBLANK(F92),"-",$D$101/$F$98*F92)</f>
        <v>1218223.2926545669</v>
      </c>
      <c r="I92" s="491">
        <f>ABS((F96/D96*D95)-F95)/D95</f>
        <v>1.074218885597167E-2</v>
      </c>
    </row>
    <row r="93" spans="1:12" ht="26.25" customHeight="1" x14ac:dyDescent="0.4">
      <c r="A93" s="73" t="s">
        <v>61</v>
      </c>
      <c r="B93" s="74">
        <v>1</v>
      </c>
      <c r="C93" s="146">
        <v>3</v>
      </c>
      <c r="D93" s="86">
        <v>1163035</v>
      </c>
      <c r="E93" s="87">
        <f>IF(ISBLANK(D93),"-",$D$101/$D$98*D93)</f>
        <v>1230014.1928578832</v>
      </c>
      <c r="F93" s="86">
        <v>1038269</v>
      </c>
      <c r="G93" s="88">
        <f>IF(ISBLANK(F93),"-",$D$101/$F$98*F93)</f>
        <v>1213315.1967503731</v>
      </c>
      <c r="I93" s="491"/>
    </row>
    <row r="94" spans="1:12" ht="27" customHeight="1" x14ac:dyDescent="0.4">
      <c r="A94" s="73" t="s">
        <v>62</v>
      </c>
      <c r="B94" s="74">
        <v>1</v>
      </c>
      <c r="C94" s="163">
        <v>4</v>
      </c>
      <c r="D94" s="91"/>
      <c r="E94" s="92" t="str">
        <f>IF(ISBLANK(D94),"-",$D$101/$D$98*D94)</f>
        <v>-</v>
      </c>
      <c r="F94" s="164"/>
      <c r="G94" s="93" t="str">
        <f>IF(ISBLANK(F94),"-",$D$101/$F$98*F94)</f>
        <v>-</v>
      </c>
      <c r="I94" s="94"/>
    </row>
    <row r="95" spans="1:12" ht="27" customHeight="1" x14ac:dyDescent="0.4">
      <c r="A95" s="73" t="s">
        <v>63</v>
      </c>
      <c r="B95" s="74">
        <v>1</v>
      </c>
      <c r="C95" s="165" t="s">
        <v>64</v>
      </c>
      <c r="D95" s="166">
        <f>AVERAGE(D91:D94)</f>
        <v>1162233.6666666667</v>
      </c>
      <c r="E95" s="97">
        <f>AVERAGE(E91:E94)</f>
        <v>1229166.7107329171</v>
      </c>
      <c r="F95" s="167">
        <f>AVERAGE(F91:F94)</f>
        <v>1039348.6666666666</v>
      </c>
      <c r="G95" s="168">
        <f>AVERAGE(G91:G94)</f>
        <v>1214576.8890228877</v>
      </c>
    </row>
    <row r="96" spans="1:12" ht="26.25" customHeight="1" x14ac:dyDescent="0.4">
      <c r="A96" s="73" t="s">
        <v>65</v>
      </c>
      <c r="B96" s="59">
        <v>1</v>
      </c>
      <c r="C96" s="169" t="s">
        <v>106</v>
      </c>
      <c r="D96" s="170">
        <v>9.58</v>
      </c>
      <c r="E96" s="89"/>
      <c r="F96" s="101">
        <v>8.67</v>
      </c>
    </row>
    <row r="97" spans="1:10" ht="26.25" customHeight="1" x14ac:dyDescent="0.4">
      <c r="A97" s="73" t="s">
        <v>67</v>
      </c>
      <c r="B97" s="59">
        <v>1</v>
      </c>
      <c r="C97" s="171" t="s">
        <v>107</v>
      </c>
      <c r="D97" s="172">
        <f>D96*$B$87</f>
        <v>9.58</v>
      </c>
      <c r="E97" s="104"/>
      <c r="F97" s="103">
        <f>F96*$B$87</f>
        <v>8.67</v>
      </c>
    </row>
    <row r="98" spans="1:10" ht="19.5" customHeight="1" x14ac:dyDescent="0.3">
      <c r="A98" s="73" t="s">
        <v>69</v>
      </c>
      <c r="B98" s="173">
        <f>(B97/B96)*(B95/B94)*(B93/B92)*(B91/B90)*B89</f>
        <v>125</v>
      </c>
      <c r="C98" s="171" t="s">
        <v>108</v>
      </c>
      <c r="D98" s="174">
        <f>D97*$B$83/100</f>
        <v>9.4554600000000004</v>
      </c>
      <c r="E98" s="107"/>
      <c r="F98" s="106">
        <f>F97*$B$83/100</f>
        <v>8.5572900000000001</v>
      </c>
    </row>
    <row r="99" spans="1:10" ht="19.5" customHeight="1" x14ac:dyDescent="0.3">
      <c r="A99" s="477" t="s">
        <v>71</v>
      </c>
      <c r="B99" s="492"/>
      <c r="C99" s="171" t="s">
        <v>109</v>
      </c>
      <c r="D99" s="175">
        <f>D98/$B$98</f>
        <v>7.5643680000000005E-2</v>
      </c>
      <c r="E99" s="107"/>
      <c r="F99" s="110">
        <f>F98/$B$98</f>
        <v>6.8458320000000003E-2</v>
      </c>
      <c r="G99" s="176"/>
      <c r="H99" s="99"/>
    </row>
    <row r="100" spans="1:10" ht="19.5" customHeight="1" x14ac:dyDescent="0.3">
      <c r="A100" s="479"/>
      <c r="B100" s="493"/>
      <c r="C100" s="171" t="s">
        <v>73</v>
      </c>
      <c r="D100" s="177">
        <f>$B$56/$B$116</f>
        <v>0.08</v>
      </c>
      <c r="F100" s="115"/>
      <c r="G100" s="178"/>
      <c r="H100" s="99"/>
    </row>
    <row r="101" spans="1:10" ht="18.75" x14ac:dyDescent="0.3">
      <c r="C101" s="171" t="s">
        <v>74</v>
      </c>
      <c r="D101" s="172">
        <f>D100*$B$98</f>
        <v>10</v>
      </c>
      <c r="F101" s="115"/>
      <c r="G101" s="176"/>
      <c r="H101" s="99"/>
    </row>
    <row r="102" spans="1:10" ht="19.5" customHeight="1" x14ac:dyDescent="0.3">
      <c r="C102" s="179" t="s">
        <v>75</v>
      </c>
      <c r="D102" s="180">
        <f>D101/B34</f>
        <v>10</v>
      </c>
      <c r="F102" s="119"/>
      <c r="G102" s="176"/>
      <c r="H102" s="99"/>
      <c r="J102" s="181"/>
    </row>
    <row r="103" spans="1:10" ht="18.75" x14ac:dyDescent="0.3">
      <c r="C103" s="182" t="s">
        <v>110</v>
      </c>
      <c r="D103" s="183">
        <f>AVERAGE(E91:E94,G91:G94)</f>
        <v>1221871.7998779023</v>
      </c>
      <c r="F103" s="119"/>
      <c r="G103" s="184"/>
      <c r="H103" s="99"/>
      <c r="J103" s="185"/>
    </row>
    <row r="104" spans="1:10" ht="18.75" x14ac:dyDescent="0.3">
      <c r="C104" s="149" t="s">
        <v>77</v>
      </c>
      <c r="D104" s="186">
        <f>STDEV(E91:E94,G91:G94)/D103</f>
        <v>6.9326589339673509E-3</v>
      </c>
      <c r="F104" s="119"/>
      <c r="G104" s="176"/>
      <c r="H104" s="99"/>
      <c r="J104" s="185"/>
    </row>
    <row r="105" spans="1:10" ht="19.5" customHeight="1" x14ac:dyDescent="0.3">
      <c r="C105" s="151" t="s">
        <v>20</v>
      </c>
      <c r="D105" s="187">
        <f>COUNT(E91:E94,G91:G94)</f>
        <v>6</v>
      </c>
      <c r="F105" s="119"/>
      <c r="G105" s="176"/>
      <c r="H105" s="99"/>
      <c r="J105" s="185"/>
    </row>
    <row r="106" spans="1:10" ht="19.5" customHeight="1" x14ac:dyDescent="0.3">
      <c r="A106" s="123"/>
      <c r="B106" s="123"/>
      <c r="C106" s="123"/>
      <c r="D106" s="123"/>
      <c r="E106" s="123"/>
    </row>
    <row r="107" spans="1:10" ht="26.25" customHeight="1" x14ac:dyDescent="0.4">
      <c r="A107" s="71" t="s">
        <v>111</v>
      </c>
      <c r="B107" s="72">
        <v>500</v>
      </c>
      <c r="C107" s="188" t="s">
        <v>112</v>
      </c>
      <c r="D107" s="189" t="s">
        <v>56</v>
      </c>
      <c r="E107" s="190" t="s">
        <v>113</v>
      </c>
      <c r="F107" s="191" t="s">
        <v>114</v>
      </c>
    </row>
    <row r="108" spans="1:10" ht="26.25" customHeight="1" x14ac:dyDescent="0.4">
      <c r="A108" s="73" t="s">
        <v>115</v>
      </c>
      <c r="B108" s="74">
        <v>1</v>
      </c>
      <c r="C108" s="192">
        <v>1</v>
      </c>
      <c r="D108" s="193">
        <v>1181959</v>
      </c>
      <c r="E108" s="228">
        <f>IF(ISBLANK(D108),"-",D108/$D$103*$D$100*$B$116)</f>
        <v>38.693388295502338</v>
      </c>
      <c r="F108" s="194">
        <f>IF(ISBLANK(D108), "-", E108/$B$56)</f>
        <v>0.96733470738755845</v>
      </c>
    </row>
    <row r="109" spans="1:10" ht="26.25" customHeight="1" x14ac:dyDescent="0.4">
      <c r="A109" s="73" t="s">
        <v>88</v>
      </c>
      <c r="B109" s="74">
        <v>1</v>
      </c>
      <c r="C109" s="192">
        <v>2</v>
      </c>
      <c r="D109" s="193">
        <v>1151990</v>
      </c>
      <c r="E109" s="229">
        <f t="shared" ref="E109:E113" si="1">IF(ISBLANK(D109),"-",D109/$D$103*$D$100*$B$116)</f>
        <v>37.712303373074477</v>
      </c>
      <c r="F109" s="195">
        <f t="shared" ref="F109:F113" si="2">IF(ISBLANK(D109), "-", E109/$B$56)</f>
        <v>0.94280758432686196</v>
      </c>
    </row>
    <row r="110" spans="1:10" ht="26.25" customHeight="1" x14ac:dyDescent="0.4">
      <c r="A110" s="73" t="s">
        <v>89</v>
      </c>
      <c r="B110" s="74">
        <v>1</v>
      </c>
      <c r="C110" s="192">
        <v>3</v>
      </c>
      <c r="D110" s="193">
        <v>1068520</v>
      </c>
      <c r="E110" s="229">
        <f t="shared" si="1"/>
        <v>34.979774477380488</v>
      </c>
      <c r="F110" s="195">
        <f>IF(ISBLANK(D110), "-", E110/$B$56)</f>
        <v>0.87449436193451224</v>
      </c>
    </row>
    <row r="111" spans="1:10" ht="26.25" customHeight="1" x14ac:dyDescent="0.4">
      <c r="A111" s="73" t="s">
        <v>90</v>
      </c>
      <c r="B111" s="74">
        <v>1</v>
      </c>
      <c r="C111" s="192">
        <v>4</v>
      </c>
      <c r="D111" s="193">
        <v>1026089</v>
      </c>
      <c r="E111" s="229">
        <f t="shared" si="1"/>
        <v>33.590725315128275</v>
      </c>
      <c r="F111" s="195">
        <f t="shared" si="2"/>
        <v>0.83976813287820684</v>
      </c>
    </row>
    <row r="112" spans="1:10" ht="26.25" customHeight="1" x14ac:dyDescent="0.4">
      <c r="A112" s="73" t="s">
        <v>91</v>
      </c>
      <c r="B112" s="74">
        <v>1</v>
      </c>
      <c r="C112" s="192">
        <v>5</v>
      </c>
      <c r="D112" s="193">
        <v>1023425</v>
      </c>
      <c r="E112" s="229">
        <f t="shared" si="1"/>
        <v>33.503514856542814</v>
      </c>
      <c r="F112" s="195">
        <f>IF(ISBLANK(D112), "-", E112/$B$56)</f>
        <v>0.83758787141357038</v>
      </c>
    </row>
    <row r="113" spans="1:10" ht="26.25" customHeight="1" x14ac:dyDescent="0.4">
      <c r="A113" s="73" t="s">
        <v>93</v>
      </c>
      <c r="B113" s="74">
        <v>1</v>
      </c>
      <c r="C113" s="196">
        <v>6</v>
      </c>
      <c r="D113" s="197">
        <v>1013867</v>
      </c>
      <c r="E113" s="230">
        <f t="shared" si="1"/>
        <v>33.190617873374684</v>
      </c>
      <c r="F113" s="198">
        <f t="shared" si="2"/>
        <v>0.82976544683436715</v>
      </c>
    </row>
    <row r="114" spans="1:10" ht="26.25" customHeight="1" x14ac:dyDescent="0.4">
      <c r="A114" s="73" t="s">
        <v>94</v>
      </c>
      <c r="B114" s="74">
        <v>1</v>
      </c>
      <c r="C114" s="192"/>
      <c r="D114" s="146"/>
      <c r="E114" s="47"/>
      <c r="F114" s="199"/>
    </row>
    <row r="115" spans="1:10" ht="26.25" customHeight="1" x14ac:dyDescent="0.4">
      <c r="A115" s="73" t="s">
        <v>95</v>
      </c>
      <c r="B115" s="74">
        <v>1</v>
      </c>
      <c r="C115" s="192"/>
      <c r="D115" s="200"/>
      <c r="E115" s="201" t="s">
        <v>64</v>
      </c>
      <c r="F115" s="202">
        <f>AVERAGE(F108:F113)</f>
        <v>0.88195968412917958</v>
      </c>
    </row>
    <row r="116" spans="1:10" ht="27" customHeight="1" x14ac:dyDescent="0.4">
      <c r="A116" s="73" t="s">
        <v>96</v>
      </c>
      <c r="B116" s="105">
        <f>(B115/B114)*(B113/B112)*(B111/B110)*(B109/B108)*B107</f>
        <v>500</v>
      </c>
      <c r="C116" s="203"/>
      <c r="D116" s="204"/>
      <c r="E116" s="165" t="s">
        <v>77</v>
      </c>
      <c r="F116" s="205">
        <f>STDEV(F108:F113)/F115</f>
        <v>6.7117725258704575E-2</v>
      </c>
      <c r="I116" s="47"/>
    </row>
    <row r="117" spans="1:10" ht="27" customHeight="1" x14ac:dyDescent="0.4">
      <c r="A117" s="477" t="s">
        <v>71</v>
      </c>
      <c r="B117" s="478"/>
      <c r="C117" s="206"/>
      <c r="D117" s="207"/>
      <c r="E117" s="208" t="s">
        <v>20</v>
      </c>
      <c r="F117" s="209">
        <f>COUNT(F108:F113)</f>
        <v>6</v>
      </c>
      <c r="I117" s="47"/>
      <c r="J117" s="185"/>
    </row>
    <row r="118" spans="1:10" ht="19.5" customHeight="1" x14ac:dyDescent="0.3">
      <c r="A118" s="479"/>
      <c r="B118" s="480"/>
      <c r="C118" s="47"/>
      <c r="D118" s="47"/>
      <c r="E118" s="47"/>
      <c r="F118" s="146"/>
      <c r="G118" s="47"/>
      <c r="H118" s="47"/>
      <c r="I118" s="47"/>
    </row>
    <row r="119" spans="1:10" ht="18.75" x14ac:dyDescent="0.3">
      <c r="A119" s="218"/>
      <c r="B119" s="69"/>
      <c r="C119" s="47"/>
      <c r="D119" s="47"/>
      <c r="E119" s="47"/>
      <c r="F119" s="146"/>
      <c r="G119" s="47"/>
      <c r="H119" s="47"/>
      <c r="I119" s="47"/>
    </row>
    <row r="120" spans="1:10" ht="26.25" customHeight="1" x14ac:dyDescent="0.4">
      <c r="A120" s="57" t="s">
        <v>99</v>
      </c>
      <c r="B120" s="153" t="s">
        <v>116</v>
      </c>
      <c r="C120" s="481" t="str">
        <f>B20</f>
        <v>Dihydroartemisinin , Piperaquine Phosphate</v>
      </c>
      <c r="D120" s="481"/>
      <c r="E120" s="154" t="s">
        <v>117</v>
      </c>
      <c r="F120" s="154"/>
      <c r="G120" s="155">
        <f>F115</f>
        <v>0.88195968412917958</v>
      </c>
      <c r="H120" s="47"/>
      <c r="I120" s="47"/>
    </row>
    <row r="121" spans="1:10" ht="19.5" customHeight="1" x14ac:dyDescent="0.3">
      <c r="A121" s="210"/>
      <c r="B121" s="210"/>
      <c r="C121" s="211"/>
      <c r="D121" s="211"/>
      <c r="E121" s="211"/>
      <c r="F121" s="211"/>
      <c r="G121" s="211"/>
      <c r="H121" s="211"/>
    </row>
    <row r="122" spans="1:10" ht="18.75" x14ac:dyDescent="0.3">
      <c r="B122" s="482" t="s">
        <v>26</v>
      </c>
      <c r="C122" s="482"/>
      <c r="E122" s="160" t="s">
        <v>27</v>
      </c>
      <c r="F122" s="212"/>
      <c r="G122" s="482" t="s">
        <v>28</v>
      </c>
      <c r="H122" s="482"/>
    </row>
    <row r="123" spans="1:10" ht="69.95" customHeight="1" x14ac:dyDescent="0.3">
      <c r="A123" s="213" t="s">
        <v>29</v>
      </c>
      <c r="B123" s="469" t="s">
        <v>126</v>
      </c>
      <c r="C123" s="214"/>
      <c r="E123" s="469" t="s">
        <v>127</v>
      </c>
      <c r="F123" s="47"/>
      <c r="G123" s="215"/>
      <c r="H123" s="215"/>
    </row>
    <row r="124" spans="1:10" ht="69.95" customHeight="1" x14ac:dyDescent="0.3">
      <c r="A124" s="213" t="s">
        <v>30</v>
      </c>
      <c r="B124" s="216"/>
      <c r="C124" s="216"/>
      <c r="E124" s="216"/>
      <c r="F124" s="47"/>
      <c r="G124" s="217"/>
      <c r="H124" s="217"/>
    </row>
    <row r="125" spans="1:10" ht="18.75" x14ac:dyDescent="0.3">
      <c r="A125" s="145"/>
      <c r="B125" s="145"/>
      <c r="C125" s="146"/>
      <c r="D125" s="146"/>
      <c r="E125" s="146"/>
      <c r="F125" s="150"/>
      <c r="G125" s="146"/>
      <c r="H125" s="146"/>
      <c r="I125" s="47"/>
    </row>
    <row r="126" spans="1:10" ht="18.75" x14ac:dyDescent="0.3">
      <c r="A126" s="145"/>
      <c r="B126" s="145"/>
      <c r="C126" s="146"/>
      <c r="D126" s="146"/>
      <c r="E126" s="146"/>
      <c r="F126" s="150"/>
      <c r="G126" s="146"/>
      <c r="H126" s="146"/>
      <c r="I126" s="47"/>
    </row>
    <row r="127" spans="1:10" ht="18.75" x14ac:dyDescent="0.3">
      <c r="A127" s="145"/>
      <c r="B127" s="145"/>
      <c r="C127" s="146"/>
      <c r="D127" s="146"/>
      <c r="E127" s="146"/>
      <c r="F127" s="150"/>
      <c r="G127" s="146"/>
      <c r="H127" s="146"/>
      <c r="I127" s="47"/>
    </row>
    <row r="128" spans="1:10" ht="18.75" x14ac:dyDescent="0.3">
      <c r="A128" s="145"/>
      <c r="B128" s="145"/>
      <c r="C128" s="146"/>
      <c r="D128" s="146"/>
      <c r="E128" s="146"/>
      <c r="F128" s="150"/>
      <c r="G128" s="146"/>
      <c r="H128" s="146"/>
      <c r="I128" s="47"/>
    </row>
    <row r="129" spans="1:9" ht="18.75" x14ac:dyDescent="0.3">
      <c r="A129" s="145"/>
      <c r="B129" s="145"/>
      <c r="C129" s="146"/>
      <c r="D129" s="146"/>
      <c r="E129" s="146"/>
      <c r="F129" s="150"/>
      <c r="G129" s="146"/>
      <c r="H129" s="146"/>
      <c r="I129" s="47"/>
    </row>
    <row r="130" spans="1:9" ht="18.75" x14ac:dyDescent="0.3">
      <c r="A130" s="145"/>
      <c r="B130" s="145"/>
      <c r="C130" s="146"/>
      <c r="D130" s="146"/>
      <c r="E130" s="146"/>
      <c r="F130" s="150"/>
      <c r="G130" s="146"/>
      <c r="H130" s="146"/>
      <c r="I130" s="47"/>
    </row>
    <row r="131" spans="1:9" ht="18.75" x14ac:dyDescent="0.3">
      <c r="A131" s="145"/>
      <c r="B131" s="145"/>
      <c r="C131" s="146"/>
      <c r="D131" s="146"/>
      <c r="E131" s="146"/>
      <c r="F131" s="150"/>
      <c r="G131" s="146"/>
      <c r="H131" s="146"/>
      <c r="I131" s="47"/>
    </row>
    <row r="132" spans="1:9" ht="18.75" x14ac:dyDescent="0.3">
      <c r="A132" s="145"/>
      <c r="B132" s="145"/>
      <c r="C132" s="146"/>
      <c r="D132" s="146"/>
      <c r="E132" s="146"/>
      <c r="F132" s="150"/>
      <c r="G132" s="146"/>
      <c r="H132" s="146"/>
      <c r="I132" s="47"/>
    </row>
    <row r="133" spans="1:9" ht="18.75" x14ac:dyDescent="0.3">
      <c r="A133" s="145"/>
      <c r="B133" s="145"/>
      <c r="C133" s="146"/>
      <c r="D133" s="146"/>
      <c r="E133" s="146"/>
      <c r="F133" s="150"/>
      <c r="G133" s="146"/>
      <c r="H133" s="146"/>
      <c r="I133" s="47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36" priority="1" operator="greaterThan">
      <formula>0.02</formula>
    </cfRule>
  </conditionalFormatting>
  <conditionalFormatting sqref="D51">
    <cfRule type="cellIs" dxfId="35" priority="2" operator="greaterThan">
      <formula>0.02</formula>
    </cfRule>
  </conditionalFormatting>
  <conditionalFormatting sqref="H73">
    <cfRule type="cellIs" dxfId="34" priority="3" operator="greaterThan">
      <formula>0.02</formula>
    </cfRule>
  </conditionalFormatting>
  <conditionalFormatting sqref="D104">
    <cfRule type="cellIs" dxfId="33" priority="4" operator="greaterThan">
      <formula>0.02</formula>
    </cfRule>
  </conditionalFormatting>
  <conditionalFormatting sqref="I39">
    <cfRule type="cellIs" dxfId="32" priority="5" operator="lessThanOrEqual">
      <formula>0.02</formula>
    </cfRule>
  </conditionalFormatting>
  <conditionalFormatting sqref="I39">
    <cfRule type="cellIs" dxfId="31" priority="6" operator="greaterThan">
      <formula>0.02</formula>
    </cfRule>
  </conditionalFormatting>
  <conditionalFormatting sqref="I92">
    <cfRule type="cellIs" dxfId="30" priority="7" operator="lessThanOrEqual">
      <formula>0.02</formula>
    </cfRule>
  </conditionalFormatting>
  <conditionalFormatting sqref="I92">
    <cfRule type="cellIs" dxfId="29" priority="8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2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39" zoomScale="60" zoomScaleNormal="100" workbookViewId="0">
      <selection activeCell="B39" sqref="B39:B42"/>
    </sheetView>
  </sheetViews>
  <sheetFormatPr defaultRowHeight="13.5" x14ac:dyDescent="0.25"/>
  <cols>
    <col min="1" max="1" width="27.5703125" style="359" customWidth="1"/>
    <col min="2" max="2" width="20.42578125" style="359" customWidth="1"/>
    <col min="3" max="3" width="31.85546875" style="359" customWidth="1"/>
    <col min="4" max="4" width="25.85546875" style="359" customWidth="1"/>
    <col min="5" max="5" width="25.7109375" style="359" customWidth="1"/>
    <col min="6" max="6" width="23.140625" style="359" customWidth="1"/>
    <col min="7" max="7" width="28.42578125" style="359" customWidth="1"/>
    <col min="8" max="8" width="21.5703125" style="359" customWidth="1"/>
    <col min="9" max="9" width="9.140625" style="359" customWidth="1"/>
    <col min="10" max="16384" width="9.140625" style="39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473" t="s">
        <v>0</v>
      </c>
      <c r="B15" s="473"/>
      <c r="C15" s="473"/>
      <c r="D15" s="473"/>
      <c r="E15" s="473"/>
    </row>
    <row r="16" spans="1:6" ht="16.5" customHeight="1" x14ac:dyDescent="0.3">
      <c r="A16" s="451" t="s">
        <v>1</v>
      </c>
      <c r="B16" s="421" t="s">
        <v>2</v>
      </c>
    </row>
    <row r="17" spans="1:5" ht="16.5" customHeight="1" x14ac:dyDescent="0.3">
      <c r="A17" s="8" t="s">
        <v>3</v>
      </c>
      <c r="B17" s="8" t="s">
        <v>5</v>
      </c>
      <c r="D17" s="9"/>
      <c r="E17" s="433"/>
    </row>
    <row r="18" spans="1:5" ht="16.5" customHeight="1" x14ac:dyDescent="0.3">
      <c r="A18" s="436" t="s">
        <v>4</v>
      </c>
      <c r="B18" s="436" t="s">
        <v>129</v>
      </c>
      <c r="C18" s="433"/>
      <c r="D18" s="433"/>
      <c r="E18" s="433"/>
    </row>
    <row r="19" spans="1:5" ht="16.5" customHeight="1" x14ac:dyDescent="0.3">
      <c r="A19" s="436" t="s">
        <v>6</v>
      </c>
      <c r="B19" s="12" t="s">
        <v>7</v>
      </c>
      <c r="C19" s="433"/>
      <c r="D19" s="433"/>
      <c r="E19" s="433"/>
    </row>
    <row r="20" spans="1:5" ht="16.5" customHeight="1" x14ac:dyDescent="0.3">
      <c r="A20" s="8" t="s">
        <v>8</v>
      </c>
      <c r="B20" s="12">
        <v>21.02</v>
      </c>
      <c r="C20" s="433"/>
      <c r="D20" s="433"/>
      <c r="E20" s="433"/>
    </row>
    <row r="21" spans="1:5" ht="16.5" customHeight="1" x14ac:dyDescent="0.3">
      <c r="A21" s="8" t="s">
        <v>10</v>
      </c>
      <c r="B21" s="13">
        <f>B20/50</f>
        <v>0.4204</v>
      </c>
      <c r="C21" s="433"/>
      <c r="D21" s="433"/>
      <c r="E21" s="433"/>
    </row>
    <row r="22" spans="1:5" ht="15.75" customHeight="1" x14ac:dyDescent="0.25">
      <c r="A22" s="433"/>
      <c r="B22" s="433"/>
      <c r="C22" s="433"/>
      <c r="D22" s="433"/>
      <c r="E22" s="433"/>
    </row>
    <row r="23" spans="1:5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</row>
    <row r="24" spans="1:5" ht="16.5" customHeight="1" x14ac:dyDescent="0.3">
      <c r="A24" s="17">
        <v>1</v>
      </c>
      <c r="B24" s="460">
        <v>16422276</v>
      </c>
      <c r="C24" s="460">
        <v>7119.6</v>
      </c>
      <c r="D24" s="461">
        <v>1.2</v>
      </c>
      <c r="E24" s="462">
        <v>8.4</v>
      </c>
    </row>
    <row r="25" spans="1:5" ht="16.5" customHeight="1" x14ac:dyDescent="0.3">
      <c r="A25" s="17">
        <v>2</v>
      </c>
      <c r="B25" s="460">
        <v>16848522</v>
      </c>
      <c r="C25" s="460">
        <v>7086</v>
      </c>
      <c r="D25" s="461">
        <v>1.2</v>
      </c>
      <c r="E25" s="461">
        <v>8.4</v>
      </c>
    </row>
    <row r="26" spans="1:5" ht="16.5" customHeight="1" x14ac:dyDescent="0.3">
      <c r="A26" s="17">
        <v>3</v>
      </c>
      <c r="B26" s="460">
        <v>16477326</v>
      </c>
      <c r="C26" s="460">
        <v>7323.6</v>
      </c>
      <c r="D26" s="461">
        <v>1.3</v>
      </c>
      <c r="E26" s="461">
        <v>8.4</v>
      </c>
    </row>
    <row r="27" spans="1:5" ht="16.5" customHeight="1" x14ac:dyDescent="0.3">
      <c r="A27" s="17">
        <v>4</v>
      </c>
      <c r="B27" s="460">
        <v>16772724</v>
      </c>
      <c r="C27" s="460">
        <v>7305.2</v>
      </c>
      <c r="D27" s="461">
        <v>1.2</v>
      </c>
      <c r="E27" s="461">
        <v>8.4</v>
      </c>
    </row>
    <row r="28" spans="1:5" ht="16.5" customHeight="1" x14ac:dyDescent="0.3">
      <c r="A28" s="17">
        <v>5</v>
      </c>
      <c r="B28" s="460">
        <v>16488696</v>
      </c>
      <c r="C28" s="460">
        <v>7462.6</v>
      </c>
      <c r="D28" s="461">
        <v>1.3</v>
      </c>
      <c r="E28" s="461">
        <v>8.4</v>
      </c>
    </row>
    <row r="29" spans="1:5" ht="16.5" customHeight="1" x14ac:dyDescent="0.3">
      <c r="A29" s="17">
        <v>6</v>
      </c>
      <c r="B29" s="463">
        <v>16636649</v>
      </c>
      <c r="C29" s="463">
        <v>7450.4</v>
      </c>
      <c r="D29" s="464">
        <v>1.3</v>
      </c>
      <c r="E29" s="464">
        <v>8.4</v>
      </c>
    </row>
    <row r="30" spans="1:5" ht="16.5" customHeight="1" x14ac:dyDescent="0.3">
      <c r="A30" s="18" t="s">
        <v>18</v>
      </c>
      <c r="B30" s="19">
        <f>AVERAGE(B24:B29)</f>
        <v>16607698.833333334</v>
      </c>
      <c r="C30" s="20">
        <f>AVERAGE(C24:C29)</f>
        <v>7291.2333333333336</v>
      </c>
      <c r="D30" s="21">
        <f>AVERAGE(D24:D29)</f>
        <v>1.25</v>
      </c>
      <c r="E30" s="21">
        <f>AVERAGE(E24:E29)</f>
        <v>8.4</v>
      </c>
    </row>
    <row r="31" spans="1:5" ht="16.5" customHeight="1" x14ac:dyDescent="0.3">
      <c r="A31" s="22" t="s">
        <v>19</v>
      </c>
      <c r="B31" s="23">
        <f>(STDEV(B24:B29)/B30)</f>
        <v>1.0484941527466176E-2</v>
      </c>
      <c r="C31" s="24"/>
      <c r="D31" s="24"/>
      <c r="E31" s="25"/>
    </row>
    <row r="32" spans="1:5" s="359" customFormat="1" ht="16.5" customHeight="1" x14ac:dyDescent="0.3">
      <c r="A32" s="26" t="s">
        <v>20</v>
      </c>
      <c r="B32" s="27">
        <f>COUNT(B24:B29)</f>
        <v>6</v>
      </c>
      <c r="C32" s="28"/>
      <c r="D32" s="434"/>
      <c r="E32" s="30"/>
    </row>
    <row r="33" spans="1:5" s="359" customFormat="1" ht="15.75" customHeight="1" x14ac:dyDescent="0.25">
      <c r="A33" s="433"/>
      <c r="B33" s="433"/>
      <c r="C33" s="433"/>
      <c r="D33" s="433"/>
      <c r="E33" s="433"/>
    </row>
    <row r="34" spans="1:5" s="359" customFormat="1" ht="16.5" customHeight="1" x14ac:dyDescent="0.3">
      <c r="A34" s="436" t="s">
        <v>21</v>
      </c>
      <c r="B34" s="35" t="s">
        <v>22</v>
      </c>
      <c r="C34" s="34"/>
      <c r="D34" s="34"/>
      <c r="E34" s="34"/>
    </row>
    <row r="35" spans="1:5" ht="16.5" customHeight="1" x14ac:dyDescent="0.3">
      <c r="A35" s="436"/>
      <c r="B35" s="35" t="s">
        <v>23</v>
      </c>
      <c r="C35" s="34"/>
      <c r="D35" s="34"/>
      <c r="E35" s="34"/>
    </row>
    <row r="36" spans="1:5" ht="16.5" customHeight="1" x14ac:dyDescent="0.3">
      <c r="A36" s="436"/>
      <c r="B36" s="35" t="s">
        <v>24</v>
      </c>
      <c r="C36" s="34"/>
      <c r="D36" s="34"/>
      <c r="E36" s="34"/>
    </row>
    <row r="37" spans="1:5" ht="15.75" customHeight="1" x14ac:dyDescent="0.25">
      <c r="A37" s="433"/>
      <c r="B37" s="433"/>
      <c r="C37" s="433"/>
      <c r="D37" s="433"/>
      <c r="E37" s="433"/>
    </row>
    <row r="38" spans="1:5" ht="16.5" customHeight="1" x14ac:dyDescent="0.3">
      <c r="A38" s="451" t="s">
        <v>1</v>
      </c>
      <c r="B38" s="421" t="s">
        <v>25</v>
      </c>
    </row>
    <row r="39" spans="1:5" ht="16.5" customHeight="1" x14ac:dyDescent="0.3">
      <c r="A39" s="436" t="s">
        <v>4</v>
      </c>
      <c r="B39" s="436" t="s">
        <v>129</v>
      </c>
      <c r="C39" s="433"/>
      <c r="D39" s="433"/>
      <c r="E39" s="433"/>
    </row>
    <row r="40" spans="1:5" ht="16.5" customHeight="1" x14ac:dyDescent="0.3">
      <c r="A40" s="436" t="s">
        <v>6</v>
      </c>
      <c r="B40" s="12" t="s">
        <v>7</v>
      </c>
      <c r="C40" s="433"/>
      <c r="D40" s="433"/>
      <c r="E40" s="433"/>
    </row>
    <row r="41" spans="1:5" ht="16.5" customHeight="1" x14ac:dyDescent="0.3">
      <c r="A41" s="8" t="s">
        <v>8</v>
      </c>
      <c r="B41" s="12">
        <v>21.02</v>
      </c>
      <c r="C41" s="433"/>
      <c r="D41" s="433"/>
      <c r="E41" s="433"/>
    </row>
    <row r="42" spans="1:5" ht="16.5" customHeight="1" x14ac:dyDescent="0.3">
      <c r="A42" s="8" t="s">
        <v>10</v>
      </c>
      <c r="B42" s="13">
        <f>B41/50</f>
        <v>0.4204</v>
      </c>
      <c r="C42" s="433"/>
      <c r="D42" s="433"/>
      <c r="E42" s="433"/>
    </row>
    <row r="43" spans="1:5" ht="15.75" customHeight="1" x14ac:dyDescent="0.25">
      <c r="A43" s="433"/>
      <c r="B43" s="433"/>
      <c r="C43" s="433"/>
      <c r="D43" s="433"/>
      <c r="E43" s="433"/>
    </row>
    <row r="44" spans="1:5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 x14ac:dyDescent="0.3">
      <c r="A45" s="17">
        <v>1</v>
      </c>
      <c r="B45" s="460">
        <v>16422276</v>
      </c>
      <c r="C45" s="460">
        <v>7119.6</v>
      </c>
      <c r="D45" s="461">
        <v>1.2</v>
      </c>
      <c r="E45" s="462">
        <v>8.4</v>
      </c>
    </row>
    <row r="46" spans="1:5" ht="16.5" customHeight="1" x14ac:dyDescent="0.3">
      <c r="A46" s="17">
        <v>2</v>
      </c>
      <c r="B46" s="460">
        <v>16848522</v>
      </c>
      <c r="C46" s="460">
        <v>7086</v>
      </c>
      <c r="D46" s="461">
        <v>1.2</v>
      </c>
      <c r="E46" s="461">
        <v>8.4</v>
      </c>
    </row>
    <row r="47" spans="1:5" ht="16.5" customHeight="1" x14ac:dyDescent="0.3">
      <c r="A47" s="17">
        <v>3</v>
      </c>
      <c r="B47" s="460">
        <v>16477326</v>
      </c>
      <c r="C47" s="460">
        <v>7323.6</v>
      </c>
      <c r="D47" s="461">
        <v>1.3</v>
      </c>
      <c r="E47" s="461">
        <v>8.4</v>
      </c>
    </row>
    <row r="48" spans="1:5" ht="16.5" customHeight="1" x14ac:dyDescent="0.3">
      <c r="A48" s="17">
        <v>4</v>
      </c>
      <c r="B48" s="460">
        <v>16772724</v>
      </c>
      <c r="C48" s="460">
        <v>7305.2</v>
      </c>
      <c r="D48" s="461">
        <v>1.2</v>
      </c>
      <c r="E48" s="461">
        <v>8.4</v>
      </c>
    </row>
    <row r="49" spans="1:7" ht="16.5" customHeight="1" x14ac:dyDescent="0.3">
      <c r="A49" s="17">
        <v>5</v>
      </c>
      <c r="B49" s="460">
        <v>16488696</v>
      </c>
      <c r="C49" s="460">
        <v>7462.6</v>
      </c>
      <c r="D49" s="461">
        <v>1.3</v>
      </c>
      <c r="E49" s="461">
        <v>8.4</v>
      </c>
    </row>
    <row r="50" spans="1:7" ht="16.5" customHeight="1" x14ac:dyDescent="0.3">
      <c r="A50" s="17">
        <v>6</v>
      </c>
      <c r="B50" s="463">
        <v>16636649</v>
      </c>
      <c r="C50" s="463">
        <v>7450.4</v>
      </c>
      <c r="D50" s="464">
        <v>1.3</v>
      </c>
      <c r="E50" s="464">
        <v>8.4</v>
      </c>
    </row>
    <row r="51" spans="1:7" ht="16.5" customHeight="1" x14ac:dyDescent="0.3">
      <c r="A51" s="18" t="s">
        <v>18</v>
      </c>
      <c r="B51" s="19">
        <f>AVERAGE(B45:B50)</f>
        <v>16607698.833333334</v>
      </c>
      <c r="C51" s="20">
        <f>AVERAGE(C45:C50)</f>
        <v>7291.2333333333336</v>
      </c>
      <c r="D51" s="21">
        <f>AVERAGE(D45:D50)</f>
        <v>1.25</v>
      </c>
      <c r="E51" s="21">
        <f>AVERAGE(E45:E50)</f>
        <v>8.4</v>
      </c>
    </row>
    <row r="52" spans="1:7" ht="16.5" customHeight="1" x14ac:dyDescent="0.3">
      <c r="A52" s="22" t="s">
        <v>19</v>
      </c>
      <c r="B52" s="23">
        <f>(STDEV(B45:B50)/B51)</f>
        <v>1.0484941527466176E-2</v>
      </c>
      <c r="C52" s="24"/>
      <c r="D52" s="24"/>
      <c r="E52" s="25"/>
    </row>
    <row r="53" spans="1:7" s="359" customFormat="1" ht="16.5" customHeight="1" x14ac:dyDescent="0.3">
      <c r="A53" s="26" t="s">
        <v>20</v>
      </c>
      <c r="B53" s="27">
        <f>COUNT(B45:B50)</f>
        <v>6</v>
      </c>
      <c r="C53" s="28"/>
      <c r="D53" s="434"/>
      <c r="E53" s="30"/>
    </row>
    <row r="54" spans="1:7" s="359" customFormat="1" ht="15.75" customHeight="1" x14ac:dyDescent="0.25">
      <c r="A54" s="433"/>
      <c r="B54" s="433"/>
      <c r="C54" s="433"/>
      <c r="D54" s="433"/>
      <c r="E54" s="433"/>
    </row>
    <row r="55" spans="1:7" s="359" customFormat="1" ht="16.5" customHeight="1" x14ac:dyDescent="0.3">
      <c r="A55" s="436" t="s">
        <v>21</v>
      </c>
      <c r="B55" s="35" t="s">
        <v>22</v>
      </c>
      <c r="C55" s="34"/>
      <c r="D55" s="34"/>
      <c r="E55" s="34"/>
    </row>
    <row r="56" spans="1:7" ht="16.5" customHeight="1" x14ac:dyDescent="0.3">
      <c r="A56" s="436"/>
      <c r="B56" s="35" t="s">
        <v>23</v>
      </c>
      <c r="C56" s="34"/>
      <c r="D56" s="34"/>
      <c r="E56" s="34"/>
    </row>
    <row r="57" spans="1:7" ht="16.5" customHeight="1" x14ac:dyDescent="0.3">
      <c r="A57" s="436"/>
      <c r="B57" s="35" t="s">
        <v>24</v>
      </c>
      <c r="C57" s="34"/>
      <c r="D57" s="34"/>
      <c r="E57" s="34"/>
    </row>
    <row r="58" spans="1:7" ht="14.25" customHeight="1" thickBot="1" x14ac:dyDescent="0.3">
      <c r="A58" s="36"/>
      <c r="B58" s="414"/>
      <c r="D58" s="38"/>
      <c r="F58" s="39"/>
      <c r="G58" s="39"/>
    </row>
    <row r="59" spans="1:7" ht="15" customHeight="1" x14ac:dyDescent="0.3">
      <c r="B59" s="474" t="s">
        <v>26</v>
      </c>
      <c r="C59" s="474"/>
      <c r="E59" s="459" t="s">
        <v>27</v>
      </c>
      <c r="F59" s="41"/>
      <c r="G59" s="459" t="s">
        <v>28</v>
      </c>
    </row>
    <row r="60" spans="1:7" ht="15" customHeight="1" x14ac:dyDescent="0.3">
      <c r="A60" s="42" t="s">
        <v>29</v>
      </c>
      <c r="B60" s="470" t="s">
        <v>126</v>
      </c>
      <c r="C60" s="44"/>
      <c r="E60" s="471">
        <v>42284</v>
      </c>
      <c r="G60" s="44"/>
    </row>
    <row r="61" spans="1:7" ht="15" customHeight="1" x14ac:dyDescent="0.3">
      <c r="A61" s="42" t="s">
        <v>30</v>
      </c>
      <c r="B61" s="45"/>
      <c r="C61" s="45"/>
      <c r="E61" s="45"/>
      <c r="G61" s="4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Layout" topLeftCell="A58" zoomScale="50" zoomScaleNormal="40" zoomScalePageLayoutView="50" workbookViewId="0">
      <selection activeCell="A131" sqref="A131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75" t="s">
        <v>31</v>
      </c>
      <c r="B1" s="475"/>
      <c r="C1" s="475"/>
      <c r="D1" s="475"/>
      <c r="E1" s="475"/>
      <c r="F1" s="475"/>
      <c r="G1" s="475"/>
      <c r="H1" s="475"/>
      <c r="I1" s="475"/>
    </row>
    <row r="2" spans="1:9" ht="18.75" customHeight="1" x14ac:dyDescent="0.25">
      <c r="A2" s="475"/>
      <c r="B2" s="475"/>
      <c r="C2" s="475"/>
      <c r="D2" s="475"/>
      <c r="E2" s="475"/>
      <c r="F2" s="475"/>
      <c r="G2" s="475"/>
      <c r="H2" s="475"/>
      <c r="I2" s="475"/>
    </row>
    <row r="3" spans="1:9" ht="18.75" customHeight="1" x14ac:dyDescent="0.25">
      <c r="A3" s="475"/>
      <c r="B3" s="475"/>
      <c r="C3" s="475"/>
      <c r="D3" s="475"/>
      <c r="E3" s="475"/>
      <c r="F3" s="475"/>
      <c r="G3" s="475"/>
      <c r="H3" s="475"/>
      <c r="I3" s="475"/>
    </row>
    <row r="4" spans="1:9" ht="18.75" customHeight="1" x14ac:dyDescent="0.25">
      <c r="A4" s="475"/>
      <c r="B4" s="475"/>
      <c r="C4" s="475"/>
      <c r="D4" s="475"/>
      <c r="E4" s="475"/>
      <c r="F4" s="475"/>
      <c r="G4" s="475"/>
      <c r="H4" s="475"/>
      <c r="I4" s="475"/>
    </row>
    <row r="5" spans="1:9" ht="18.75" customHeight="1" x14ac:dyDescent="0.25">
      <c r="A5" s="475"/>
      <c r="B5" s="475"/>
      <c r="C5" s="475"/>
      <c r="D5" s="475"/>
      <c r="E5" s="475"/>
      <c r="F5" s="475"/>
      <c r="G5" s="475"/>
      <c r="H5" s="475"/>
      <c r="I5" s="475"/>
    </row>
    <row r="6" spans="1:9" ht="18.75" customHeight="1" x14ac:dyDescent="0.25">
      <c r="A6" s="475"/>
      <c r="B6" s="475"/>
      <c r="C6" s="475"/>
      <c r="D6" s="475"/>
      <c r="E6" s="475"/>
      <c r="F6" s="475"/>
      <c r="G6" s="475"/>
      <c r="H6" s="475"/>
      <c r="I6" s="475"/>
    </row>
    <row r="7" spans="1:9" ht="18.75" customHeight="1" x14ac:dyDescent="0.25">
      <c r="A7" s="475"/>
      <c r="B7" s="475"/>
      <c r="C7" s="475"/>
      <c r="D7" s="475"/>
      <c r="E7" s="475"/>
      <c r="F7" s="475"/>
      <c r="G7" s="475"/>
      <c r="H7" s="475"/>
      <c r="I7" s="475"/>
    </row>
    <row r="8" spans="1:9" x14ac:dyDescent="0.25">
      <c r="A8" s="476" t="s">
        <v>32</v>
      </c>
      <c r="B8" s="476"/>
      <c r="C8" s="476"/>
      <c r="D8" s="476"/>
      <c r="E8" s="476"/>
      <c r="F8" s="476"/>
      <c r="G8" s="476"/>
      <c r="H8" s="476"/>
      <c r="I8" s="476"/>
    </row>
    <row r="9" spans="1:9" x14ac:dyDescent="0.25">
      <c r="A9" s="476"/>
      <c r="B9" s="476"/>
      <c r="C9" s="476"/>
      <c r="D9" s="476"/>
      <c r="E9" s="476"/>
      <c r="F9" s="476"/>
      <c r="G9" s="476"/>
      <c r="H9" s="476"/>
      <c r="I9" s="476"/>
    </row>
    <row r="10" spans="1:9" x14ac:dyDescent="0.25">
      <c r="A10" s="476"/>
      <c r="B10" s="476"/>
      <c r="C10" s="476"/>
      <c r="D10" s="476"/>
      <c r="E10" s="476"/>
      <c r="F10" s="476"/>
      <c r="G10" s="476"/>
      <c r="H10" s="476"/>
      <c r="I10" s="476"/>
    </row>
    <row r="11" spans="1:9" x14ac:dyDescent="0.25">
      <c r="A11" s="476"/>
      <c r="B11" s="476"/>
      <c r="C11" s="476"/>
      <c r="D11" s="476"/>
      <c r="E11" s="476"/>
      <c r="F11" s="476"/>
      <c r="G11" s="476"/>
      <c r="H11" s="476"/>
      <c r="I11" s="476"/>
    </row>
    <row r="12" spans="1:9" x14ac:dyDescent="0.25">
      <c r="A12" s="476"/>
      <c r="B12" s="476"/>
      <c r="C12" s="476"/>
      <c r="D12" s="476"/>
      <c r="E12" s="476"/>
      <c r="F12" s="476"/>
      <c r="G12" s="476"/>
      <c r="H12" s="476"/>
      <c r="I12" s="476"/>
    </row>
    <row r="13" spans="1:9" x14ac:dyDescent="0.25">
      <c r="A13" s="476"/>
      <c r="B13" s="476"/>
      <c r="C13" s="476"/>
      <c r="D13" s="476"/>
      <c r="E13" s="476"/>
      <c r="F13" s="476"/>
      <c r="G13" s="476"/>
      <c r="H13" s="476"/>
      <c r="I13" s="476"/>
    </row>
    <row r="14" spans="1:9" x14ac:dyDescent="0.25">
      <c r="A14" s="476"/>
      <c r="B14" s="476"/>
      <c r="C14" s="476"/>
      <c r="D14" s="476"/>
      <c r="E14" s="476"/>
      <c r="F14" s="476"/>
      <c r="G14" s="476"/>
      <c r="H14" s="476"/>
      <c r="I14" s="476"/>
    </row>
    <row r="15" spans="1:9" ht="19.5" customHeight="1" x14ac:dyDescent="0.3">
      <c r="A15" s="231"/>
    </row>
    <row r="16" spans="1:9" ht="19.5" customHeight="1" x14ac:dyDescent="0.3">
      <c r="A16" s="510" t="s">
        <v>33</v>
      </c>
      <c r="B16" s="511"/>
      <c r="C16" s="511"/>
      <c r="D16" s="511"/>
      <c r="E16" s="511"/>
      <c r="F16" s="511"/>
      <c r="G16" s="511"/>
      <c r="H16" s="512"/>
    </row>
    <row r="17" spans="1:14" ht="20.25" customHeight="1" x14ac:dyDescent="0.25">
      <c r="A17" s="513" t="s">
        <v>34</v>
      </c>
      <c r="B17" s="513"/>
      <c r="C17" s="513"/>
      <c r="D17" s="513"/>
      <c r="E17" s="513"/>
      <c r="F17" s="513"/>
      <c r="G17" s="513"/>
      <c r="H17" s="513"/>
    </row>
    <row r="18" spans="1:14" ht="26.25" customHeight="1" x14ac:dyDescent="0.4">
      <c r="A18" s="233" t="s">
        <v>35</v>
      </c>
      <c r="B18" s="509" t="s">
        <v>5</v>
      </c>
      <c r="C18" s="509"/>
      <c r="D18" s="402"/>
      <c r="E18" s="234"/>
      <c r="F18" s="235"/>
      <c r="G18" s="235"/>
      <c r="H18" s="235"/>
    </row>
    <row r="19" spans="1:14" ht="26.25" customHeight="1" x14ac:dyDescent="0.4">
      <c r="A19" s="233" t="s">
        <v>36</v>
      </c>
      <c r="B19" s="236" t="s">
        <v>7</v>
      </c>
      <c r="C19" s="404">
        <v>1</v>
      </c>
      <c r="D19" s="235"/>
      <c r="E19" s="235"/>
      <c r="F19" s="235"/>
      <c r="G19" s="235"/>
      <c r="H19" s="235"/>
    </row>
    <row r="20" spans="1:14" ht="26.25" customHeight="1" x14ac:dyDescent="0.4">
      <c r="A20" s="233" t="s">
        <v>37</v>
      </c>
      <c r="B20" s="514" t="s">
        <v>129</v>
      </c>
      <c r="C20" s="514"/>
      <c r="D20" s="235"/>
      <c r="E20" s="235"/>
      <c r="F20" s="235"/>
      <c r="G20" s="235"/>
      <c r="H20" s="235"/>
    </row>
    <row r="21" spans="1:14" ht="26.25" customHeight="1" x14ac:dyDescent="0.4">
      <c r="A21" s="233" t="s">
        <v>38</v>
      </c>
      <c r="B21" s="514" t="s">
        <v>130</v>
      </c>
      <c r="C21" s="514"/>
      <c r="D21" s="514"/>
      <c r="E21" s="514"/>
      <c r="F21" s="514"/>
      <c r="G21" s="514"/>
      <c r="H21" s="514"/>
      <c r="I21" s="237"/>
    </row>
    <row r="22" spans="1:14" ht="26.25" customHeight="1" x14ac:dyDescent="0.4">
      <c r="A22" s="233" t="s">
        <v>39</v>
      </c>
      <c r="B22" s="238">
        <v>42230</v>
      </c>
      <c r="C22" s="235"/>
      <c r="D22" s="235"/>
      <c r="E22" s="235"/>
      <c r="F22" s="235"/>
      <c r="G22" s="235"/>
      <c r="H22" s="235"/>
    </row>
    <row r="23" spans="1:14" ht="26.25" customHeight="1" x14ac:dyDescent="0.4">
      <c r="A23" s="233" t="s">
        <v>40</v>
      </c>
      <c r="B23" s="238">
        <v>42233</v>
      </c>
      <c r="C23" s="235"/>
      <c r="D23" s="235"/>
      <c r="E23" s="235"/>
      <c r="F23" s="235"/>
      <c r="G23" s="235"/>
      <c r="H23" s="235"/>
    </row>
    <row r="24" spans="1:14" ht="18.75" x14ac:dyDescent="0.3">
      <c r="A24" s="233"/>
      <c r="B24" s="239"/>
    </row>
    <row r="25" spans="1:14" ht="18.75" x14ac:dyDescent="0.3">
      <c r="A25" s="240" t="s">
        <v>1</v>
      </c>
      <c r="B25" s="239"/>
    </row>
    <row r="26" spans="1:14" ht="26.25" customHeight="1" x14ac:dyDescent="0.4">
      <c r="A26" s="241" t="s">
        <v>4</v>
      </c>
      <c r="B26" s="509" t="s">
        <v>131</v>
      </c>
      <c r="C26" s="509"/>
    </row>
    <row r="27" spans="1:14" ht="26.25" customHeight="1" x14ac:dyDescent="0.4">
      <c r="A27" s="242" t="s">
        <v>41</v>
      </c>
      <c r="B27" s="506"/>
      <c r="C27" s="506"/>
    </row>
    <row r="28" spans="1:14" ht="27" customHeight="1" x14ac:dyDescent="0.4">
      <c r="A28" s="242" t="s">
        <v>6</v>
      </c>
      <c r="B28" s="243">
        <v>99.08</v>
      </c>
    </row>
    <row r="29" spans="1:14" s="14" customFormat="1" ht="27" customHeight="1" x14ac:dyDescent="0.4">
      <c r="A29" s="242" t="s">
        <v>42</v>
      </c>
      <c r="B29" s="244">
        <v>7.11</v>
      </c>
      <c r="C29" s="483" t="s">
        <v>43</v>
      </c>
      <c r="D29" s="484"/>
      <c r="E29" s="484"/>
      <c r="F29" s="484"/>
      <c r="G29" s="485"/>
      <c r="I29" s="245"/>
      <c r="J29" s="245"/>
      <c r="K29" s="245"/>
      <c r="L29" s="245"/>
    </row>
    <row r="30" spans="1:14" s="14" customFormat="1" ht="19.5" customHeight="1" x14ac:dyDescent="0.3">
      <c r="A30" s="242" t="s">
        <v>44</v>
      </c>
      <c r="B30" s="246">
        <f>B28-B29</f>
        <v>91.97</v>
      </c>
      <c r="C30" s="247"/>
      <c r="D30" s="247"/>
      <c r="E30" s="247"/>
      <c r="F30" s="247"/>
      <c r="G30" s="248"/>
      <c r="I30" s="245"/>
      <c r="J30" s="245"/>
      <c r="K30" s="245"/>
      <c r="L30" s="245"/>
    </row>
    <row r="31" spans="1:14" s="14" customFormat="1" ht="27" customHeight="1" x14ac:dyDescent="0.4">
      <c r="A31" s="242" t="s">
        <v>45</v>
      </c>
      <c r="B31" s="249">
        <v>1</v>
      </c>
      <c r="C31" s="486" t="s">
        <v>46</v>
      </c>
      <c r="D31" s="487"/>
      <c r="E31" s="487"/>
      <c r="F31" s="487"/>
      <c r="G31" s="487"/>
      <c r="H31" s="488"/>
      <c r="I31" s="245"/>
      <c r="J31" s="245"/>
      <c r="K31" s="245"/>
      <c r="L31" s="245"/>
    </row>
    <row r="32" spans="1:14" s="14" customFormat="1" ht="27" customHeight="1" x14ac:dyDescent="0.4">
      <c r="A32" s="242" t="s">
        <v>47</v>
      </c>
      <c r="B32" s="249">
        <v>1</v>
      </c>
      <c r="C32" s="486" t="s">
        <v>48</v>
      </c>
      <c r="D32" s="487"/>
      <c r="E32" s="487"/>
      <c r="F32" s="487"/>
      <c r="G32" s="487"/>
      <c r="H32" s="488"/>
      <c r="I32" s="245"/>
      <c r="J32" s="245"/>
      <c r="K32" s="245"/>
      <c r="L32" s="250"/>
      <c r="M32" s="250"/>
      <c r="N32" s="251"/>
    </row>
    <row r="33" spans="1:14" s="14" customFormat="1" ht="17.25" customHeight="1" x14ac:dyDescent="0.3">
      <c r="A33" s="242"/>
      <c r="B33" s="252"/>
      <c r="C33" s="253"/>
      <c r="D33" s="253"/>
      <c r="E33" s="253"/>
      <c r="F33" s="253"/>
      <c r="G33" s="253"/>
      <c r="H33" s="253"/>
      <c r="I33" s="245"/>
      <c r="J33" s="245"/>
      <c r="K33" s="245"/>
      <c r="L33" s="250"/>
      <c r="M33" s="250"/>
      <c r="N33" s="251"/>
    </row>
    <row r="34" spans="1:14" s="14" customFormat="1" ht="18.75" x14ac:dyDescent="0.3">
      <c r="A34" s="242" t="s">
        <v>49</v>
      </c>
      <c r="B34" s="254">
        <f>B31/B32</f>
        <v>1</v>
      </c>
      <c r="C34" s="232" t="s">
        <v>50</v>
      </c>
      <c r="D34" s="232"/>
      <c r="E34" s="232"/>
      <c r="F34" s="232"/>
      <c r="G34" s="232"/>
      <c r="I34" s="245"/>
      <c r="J34" s="245"/>
      <c r="K34" s="245"/>
      <c r="L34" s="250"/>
      <c r="M34" s="250"/>
      <c r="N34" s="251"/>
    </row>
    <row r="35" spans="1:14" s="14" customFormat="1" ht="19.5" customHeight="1" x14ac:dyDescent="0.3">
      <c r="A35" s="242"/>
      <c r="B35" s="246"/>
      <c r="G35" s="232"/>
      <c r="I35" s="245"/>
      <c r="J35" s="245"/>
      <c r="K35" s="245"/>
      <c r="L35" s="250"/>
      <c r="M35" s="250"/>
      <c r="N35" s="251"/>
    </row>
    <row r="36" spans="1:14" s="14" customFormat="1" ht="27" customHeight="1" x14ac:dyDescent="0.4">
      <c r="A36" s="255" t="s">
        <v>51</v>
      </c>
      <c r="B36" s="256">
        <v>50</v>
      </c>
      <c r="C36" s="232"/>
      <c r="D36" s="489" t="s">
        <v>52</v>
      </c>
      <c r="E36" s="507"/>
      <c r="F36" s="489" t="s">
        <v>53</v>
      </c>
      <c r="G36" s="490"/>
      <c r="J36" s="245"/>
      <c r="K36" s="245"/>
      <c r="L36" s="250"/>
      <c r="M36" s="250"/>
      <c r="N36" s="251"/>
    </row>
    <row r="37" spans="1:14" s="14" customFormat="1" ht="27" customHeight="1" x14ac:dyDescent="0.4">
      <c r="A37" s="257" t="s">
        <v>54</v>
      </c>
      <c r="B37" s="258">
        <v>1</v>
      </c>
      <c r="C37" s="259" t="s">
        <v>55</v>
      </c>
      <c r="D37" s="260" t="s">
        <v>56</v>
      </c>
      <c r="E37" s="261" t="s">
        <v>57</v>
      </c>
      <c r="F37" s="260" t="s">
        <v>56</v>
      </c>
      <c r="G37" s="262" t="s">
        <v>57</v>
      </c>
      <c r="I37" s="263" t="s">
        <v>58</v>
      </c>
      <c r="J37" s="245"/>
      <c r="K37" s="245"/>
      <c r="L37" s="250"/>
      <c r="M37" s="250"/>
      <c r="N37" s="251"/>
    </row>
    <row r="38" spans="1:14" s="14" customFormat="1" ht="26.25" customHeight="1" x14ac:dyDescent="0.4">
      <c r="A38" s="257" t="s">
        <v>59</v>
      </c>
      <c r="B38" s="258">
        <v>1</v>
      </c>
      <c r="C38" s="264">
        <v>1</v>
      </c>
      <c r="D38" s="265">
        <v>17788356</v>
      </c>
      <c r="E38" s="266">
        <f>IF(ISBLANK(D38),"-",$D$48/$D$45*D38)</f>
        <v>16839594.027254183</v>
      </c>
      <c r="F38" s="265">
        <v>15807679</v>
      </c>
      <c r="G38" s="267">
        <f>IF(ISBLANK(F38),"-",$D$48/$F$45*F38)</f>
        <v>16917189.489212077</v>
      </c>
      <c r="I38" s="268"/>
      <c r="J38" s="245"/>
      <c r="K38" s="245"/>
      <c r="L38" s="250"/>
      <c r="M38" s="250"/>
      <c r="N38" s="251"/>
    </row>
    <row r="39" spans="1:14" s="14" customFormat="1" ht="26.25" customHeight="1" x14ac:dyDescent="0.4">
      <c r="A39" s="257" t="s">
        <v>60</v>
      </c>
      <c r="B39" s="258">
        <v>1</v>
      </c>
      <c r="C39" s="269">
        <v>2</v>
      </c>
      <c r="D39" s="270">
        <v>17989187</v>
      </c>
      <c r="E39" s="271">
        <f>IF(ISBLANK(D39),"-",$D$48/$D$45*D39)</f>
        <v>17029713.480006728</v>
      </c>
      <c r="F39" s="270">
        <v>15797938</v>
      </c>
      <c r="G39" s="272">
        <f>IF(ISBLANK(F39),"-",$D$48/$F$45*F39)</f>
        <v>16906764.787216645</v>
      </c>
      <c r="I39" s="491">
        <f>ABS((F43/D43*D42)-F42)/D42</f>
        <v>1.6286424043785025E-3</v>
      </c>
      <c r="J39" s="245"/>
      <c r="K39" s="245"/>
      <c r="L39" s="250"/>
      <c r="M39" s="250"/>
      <c r="N39" s="251"/>
    </row>
    <row r="40" spans="1:14" ht="26.25" customHeight="1" x14ac:dyDescent="0.4">
      <c r="A40" s="257" t="s">
        <v>61</v>
      </c>
      <c r="B40" s="258">
        <v>1</v>
      </c>
      <c r="C40" s="269">
        <v>3</v>
      </c>
      <c r="D40" s="270">
        <v>18042754</v>
      </c>
      <c r="E40" s="271">
        <f>IF(ISBLANK(D40),"-",$D$48/$D$45*D40)</f>
        <v>17080423.423818171</v>
      </c>
      <c r="F40" s="270">
        <v>15914932</v>
      </c>
      <c r="G40" s="272">
        <f>IF(ISBLANK(F40),"-",$D$48/$F$45*F40)</f>
        <v>17031970.370345004</v>
      </c>
      <c r="I40" s="491"/>
      <c r="L40" s="250"/>
      <c r="M40" s="250"/>
      <c r="N40" s="273"/>
    </row>
    <row r="41" spans="1:14" ht="27" customHeight="1" x14ac:dyDescent="0.4">
      <c r="A41" s="257" t="s">
        <v>62</v>
      </c>
      <c r="B41" s="258">
        <v>1</v>
      </c>
      <c r="C41" s="274">
        <v>4</v>
      </c>
      <c r="D41" s="275"/>
      <c r="E41" s="276" t="str">
        <f>IF(ISBLANK(D41),"-",$D$48/$D$45*D41)</f>
        <v>-</v>
      </c>
      <c r="F41" s="275"/>
      <c r="G41" s="277" t="str">
        <f>IF(ISBLANK(F41),"-",$D$48/$F$45*F41)</f>
        <v>-</v>
      </c>
      <c r="I41" s="278"/>
      <c r="L41" s="250"/>
      <c r="M41" s="250"/>
      <c r="N41" s="273"/>
    </row>
    <row r="42" spans="1:14" ht="27" customHeight="1" x14ac:dyDescent="0.4">
      <c r="A42" s="257" t="s">
        <v>63</v>
      </c>
      <c r="B42" s="258">
        <v>1</v>
      </c>
      <c r="C42" s="279" t="s">
        <v>64</v>
      </c>
      <c r="D42" s="280">
        <f>AVERAGE(D38:D41)</f>
        <v>17940099</v>
      </c>
      <c r="E42" s="281">
        <f>AVERAGE(E38:E41)</f>
        <v>16983243.643693026</v>
      </c>
      <c r="F42" s="280">
        <f>AVERAGE(F38:F41)</f>
        <v>15840183</v>
      </c>
      <c r="G42" s="282">
        <f>AVERAGE(G38:G41)</f>
        <v>16951974.882257909</v>
      </c>
      <c r="H42" s="283"/>
    </row>
    <row r="43" spans="1:14" ht="26.25" customHeight="1" x14ac:dyDescent="0.4">
      <c r="A43" s="257" t="s">
        <v>65</v>
      </c>
      <c r="B43" s="258">
        <v>1</v>
      </c>
      <c r="C43" s="284" t="s">
        <v>66</v>
      </c>
      <c r="D43" s="285">
        <v>20.100000000000001</v>
      </c>
      <c r="E43" s="273"/>
      <c r="F43" s="285">
        <v>17.78</v>
      </c>
      <c r="H43" s="283"/>
    </row>
    <row r="44" spans="1:14" ht="26.25" customHeight="1" x14ac:dyDescent="0.4">
      <c r="A44" s="257" t="s">
        <v>67</v>
      </c>
      <c r="B44" s="258">
        <v>1</v>
      </c>
      <c r="C44" s="286" t="s">
        <v>68</v>
      </c>
      <c r="D44" s="287">
        <f>D43*$B$34</f>
        <v>20.100000000000001</v>
      </c>
      <c r="E44" s="288"/>
      <c r="F44" s="287">
        <f>F43*$B$34</f>
        <v>17.78</v>
      </c>
      <c r="H44" s="283"/>
    </row>
    <row r="45" spans="1:14" ht="19.5" customHeight="1" x14ac:dyDescent="0.3">
      <c r="A45" s="257" t="s">
        <v>69</v>
      </c>
      <c r="B45" s="289">
        <f>(B44/B43)*(B42/B41)*(B40/B39)*(B38/B37)*B36</f>
        <v>50</v>
      </c>
      <c r="C45" s="286" t="s">
        <v>70</v>
      </c>
      <c r="D45" s="290">
        <f>D44*$B$30/100</f>
        <v>18.485970000000002</v>
      </c>
      <c r="E45" s="291"/>
      <c r="F45" s="290">
        <f>F44*$B$30/100</f>
        <v>16.352266</v>
      </c>
      <c r="H45" s="283"/>
    </row>
    <row r="46" spans="1:14" ht="19.5" customHeight="1" x14ac:dyDescent="0.3">
      <c r="A46" s="477" t="s">
        <v>71</v>
      </c>
      <c r="B46" s="478"/>
      <c r="C46" s="286" t="s">
        <v>72</v>
      </c>
      <c r="D46" s="292">
        <f>D45/$B$45</f>
        <v>0.36971940000000003</v>
      </c>
      <c r="E46" s="293"/>
      <c r="F46" s="294">
        <f>F45/$B$45</f>
        <v>0.32704532000000003</v>
      </c>
      <c r="H46" s="283"/>
    </row>
    <row r="47" spans="1:14" ht="27" customHeight="1" x14ac:dyDescent="0.4">
      <c r="A47" s="479"/>
      <c r="B47" s="480"/>
      <c r="C47" s="295" t="s">
        <v>73</v>
      </c>
      <c r="D47" s="296">
        <v>0.35</v>
      </c>
      <c r="E47" s="297"/>
      <c r="F47" s="293"/>
      <c r="H47" s="283"/>
    </row>
    <row r="48" spans="1:14" ht="18.75" x14ac:dyDescent="0.3">
      <c r="C48" s="298" t="s">
        <v>74</v>
      </c>
      <c r="D48" s="290">
        <f>D47*$B$45</f>
        <v>17.5</v>
      </c>
      <c r="F48" s="299"/>
      <c r="H48" s="283"/>
    </row>
    <row r="49" spans="1:12" ht="19.5" customHeight="1" x14ac:dyDescent="0.3">
      <c r="C49" s="300" t="s">
        <v>75</v>
      </c>
      <c r="D49" s="301">
        <f>D48/B34</f>
        <v>17.5</v>
      </c>
      <c r="F49" s="299"/>
      <c r="H49" s="283"/>
    </row>
    <row r="50" spans="1:12" ht="18.75" x14ac:dyDescent="0.3">
      <c r="C50" s="255" t="s">
        <v>76</v>
      </c>
      <c r="D50" s="302">
        <f>AVERAGE(E38:E41,G38:G41)</f>
        <v>16967609.262975469</v>
      </c>
      <c r="F50" s="303"/>
      <c r="H50" s="283"/>
    </row>
    <row r="51" spans="1:12" ht="18.75" x14ac:dyDescent="0.3">
      <c r="C51" s="257" t="s">
        <v>77</v>
      </c>
      <c r="D51" s="304">
        <f>STDEV(E38:E41,G38:G41)/D50</f>
        <v>5.4882147074658324E-3</v>
      </c>
      <c r="F51" s="303"/>
      <c r="H51" s="283"/>
    </row>
    <row r="52" spans="1:12" ht="19.5" customHeight="1" x14ac:dyDescent="0.3">
      <c r="C52" s="305" t="s">
        <v>20</v>
      </c>
      <c r="D52" s="306">
        <f>COUNT(E38:E41,G38:G41)</f>
        <v>6</v>
      </c>
      <c r="F52" s="303"/>
    </row>
    <row r="54" spans="1:12" ht="18.75" x14ac:dyDescent="0.3">
      <c r="A54" s="307" t="s">
        <v>1</v>
      </c>
      <c r="B54" s="308" t="s">
        <v>78</v>
      </c>
    </row>
    <row r="55" spans="1:12" ht="18.75" x14ac:dyDescent="0.3">
      <c r="A55" s="232" t="s">
        <v>79</v>
      </c>
      <c r="B55" s="309" t="str">
        <f>B21</f>
        <v>Piperaquine Phosphate 320 mg</v>
      </c>
    </row>
    <row r="56" spans="1:12" ht="26.25" customHeight="1" x14ac:dyDescent="0.4">
      <c r="A56" s="310" t="s">
        <v>80</v>
      </c>
      <c r="B56" s="311">
        <v>320</v>
      </c>
      <c r="C56" s="232" t="str">
        <f>B20</f>
        <v>Piperaquine Phosphate</v>
      </c>
      <c r="H56" s="312"/>
    </row>
    <row r="57" spans="1:12" ht="18.75" x14ac:dyDescent="0.3">
      <c r="A57" s="309" t="s">
        <v>81</v>
      </c>
      <c r="B57" s="403">
        <f>Uniformity!C46</f>
        <v>565.18049999999994</v>
      </c>
      <c r="H57" s="312"/>
    </row>
    <row r="58" spans="1:12" ht="19.5" customHeight="1" x14ac:dyDescent="0.3">
      <c r="H58" s="312"/>
    </row>
    <row r="59" spans="1:12" s="14" customFormat="1" ht="27" customHeight="1" x14ac:dyDescent="0.4">
      <c r="A59" s="255" t="s">
        <v>82</v>
      </c>
      <c r="B59" s="256">
        <v>200</v>
      </c>
      <c r="C59" s="232"/>
      <c r="D59" s="313" t="s">
        <v>83</v>
      </c>
      <c r="E59" s="314" t="s">
        <v>55</v>
      </c>
      <c r="F59" s="314" t="s">
        <v>56</v>
      </c>
      <c r="G59" s="314" t="s">
        <v>84</v>
      </c>
      <c r="H59" s="259" t="s">
        <v>85</v>
      </c>
      <c r="L59" s="245"/>
    </row>
    <row r="60" spans="1:12" s="14" customFormat="1" ht="26.25" customHeight="1" x14ac:dyDescent="0.4">
      <c r="A60" s="257" t="s">
        <v>86</v>
      </c>
      <c r="B60" s="258">
        <v>4</v>
      </c>
      <c r="C60" s="494" t="s">
        <v>87</v>
      </c>
      <c r="D60" s="497">
        <v>551.20000000000005</v>
      </c>
      <c r="E60" s="315">
        <v>1</v>
      </c>
      <c r="F60" s="316">
        <v>14875377</v>
      </c>
      <c r="G60" s="405">
        <f>IF(ISBLANK(F60),"-",(F60/$D$50*$D$47*$B$68)*($B$57/$D$60))</f>
        <v>314.62507456950328</v>
      </c>
      <c r="H60" s="317">
        <f>IF(ISBLANK(F60),"-",G60/$B$56)</f>
        <v>0.98320335802969772</v>
      </c>
      <c r="L60" s="245"/>
    </row>
    <row r="61" spans="1:12" s="14" customFormat="1" ht="26.25" customHeight="1" x14ac:dyDescent="0.4">
      <c r="A61" s="257" t="s">
        <v>88</v>
      </c>
      <c r="B61" s="258">
        <v>20</v>
      </c>
      <c r="C61" s="495"/>
      <c r="D61" s="498"/>
      <c r="E61" s="318">
        <v>2</v>
      </c>
      <c r="F61" s="270">
        <v>14844238</v>
      </c>
      <c r="G61" s="406">
        <f>IF(ISBLANK(F61),"-",(F61/$D$50*$D$47*$B$68)*($B$57/$D$60))</f>
        <v>313.96646200479188</v>
      </c>
      <c r="H61" s="319">
        <f t="shared" ref="H60:H71" si="0">IF(ISBLANK(F61),"-",G61/$B$56)</f>
        <v>0.98114519376497467</v>
      </c>
      <c r="L61" s="245"/>
    </row>
    <row r="62" spans="1:12" s="14" customFormat="1" ht="26.25" customHeight="1" x14ac:dyDescent="0.4">
      <c r="A62" s="257" t="s">
        <v>89</v>
      </c>
      <c r="B62" s="258">
        <v>1</v>
      </c>
      <c r="C62" s="495"/>
      <c r="D62" s="498"/>
      <c r="E62" s="318">
        <v>3</v>
      </c>
      <c r="F62" s="320">
        <v>14756185</v>
      </c>
      <c r="G62" s="406">
        <f>IF(ISBLANK(F62),"-",(F62/$D$50*$D$47*$B$68)*($B$57/$D$60))</f>
        <v>312.10407682349063</v>
      </c>
      <c r="H62" s="319">
        <f t="shared" si="0"/>
        <v>0.97532524007340826</v>
      </c>
      <c r="L62" s="245"/>
    </row>
    <row r="63" spans="1:12" ht="27" customHeight="1" x14ac:dyDescent="0.4">
      <c r="A63" s="257" t="s">
        <v>90</v>
      </c>
      <c r="B63" s="258">
        <v>1</v>
      </c>
      <c r="C63" s="505"/>
      <c r="D63" s="499"/>
      <c r="E63" s="321">
        <v>4</v>
      </c>
      <c r="F63" s="322"/>
      <c r="G63" s="406" t="str">
        <f>IF(ISBLANK(F63),"-",(F63/$D$50*$D$47*$B$68)*($B$57/$D$60))</f>
        <v>-</v>
      </c>
      <c r="H63" s="319" t="str">
        <f t="shared" si="0"/>
        <v>-</v>
      </c>
    </row>
    <row r="64" spans="1:12" ht="26.25" customHeight="1" x14ac:dyDescent="0.4">
      <c r="A64" s="257" t="s">
        <v>91</v>
      </c>
      <c r="B64" s="258">
        <v>1</v>
      </c>
      <c r="C64" s="494" t="s">
        <v>92</v>
      </c>
      <c r="D64" s="497">
        <v>544.03</v>
      </c>
      <c r="E64" s="315">
        <v>1</v>
      </c>
      <c r="F64" s="316">
        <v>14768705</v>
      </c>
      <c r="G64" s="407">
        <f>IF(ISBLANK(F64),"-",(F64/$D$50*$D$47*$B$68)*($B$57/$D$64))</f>
        <v>316.48572475183641</v>
      </c>
      <c r="H64" s="323">
        <f>IF(ISBLANK(F64),"-",G64/$B$56)</f>
        <v>0.9890178898494888</v>
      </c>
    </row>
    <row r="65" spans="1:8" ht="26.25" customHeight="1" x14ac:dyDescent="0.4">
      <c r="A65" s="257" t="s">
        <v>93</v>
      </c>
      <c r="B65" s="258">
        <v>1</v>
      </c>
      <c r="C65" s="495"/>
      <c r="D65" s="498"/>
      <c r="E65" s="318">
        <v>2</v>
      </c>
      <c r="F65" s="270">
        <v>14781497</v>
      </c>
      <c r="G65" s="408">
        <f>IF(ISBLANK(F65),"-",(F65/$D$50*$D$47*$B$68)*($B$57/$D$64))</f>
        <v>316.75985070878568</v>
      </c>
      <c r="H65" s="324">
        <f t="shared" si="0"/>
        <v>0.98987453346495524</v>
      </c>
    </row>
    <row r="66" spans="1:8" ht="26.25" customHeight="1" x14ac:dyDescent="0.4">
      <c r="A66" s="257" t="s">
        <v>94</v>
      </c>
      <c r="B66" s="258">
        <v>1</v>
      </c>
      <c r="C66" s="495"/>
      <c r="D66" s="498"/>
      <c r="E66" s="318">
        <v>3</v>
      </c>
      <c r="F66" s="270">
        <v>14653085</v>
      </c>
      <c r="G66" s="408">
        <f>IF(ISBLANK(F66),"-",(F66/$D$50*$D$47*$B$68)*($B$57/$D$64))</f>
        <v>314.00804783325708</v>
      </c>
      <c r="H66" s="324">
        <f t="shared" si="0"/>
        <v>0.98127514947892835</v>
      </c>
    </row>
    <row r="67" spans="1:8" ht="27" customHeight="1" x14ac:dyDescent="0.4">
      <c r="A67" s="257" t="s">
        <v>95</v>
      </c>
      <c r="B67" s="258">
        <v>1</v>
      </c>
      <c r="C67" s="505"/>
      <c r="D67" s="499"/>
      <c r="E67" s="321">
        <v>4</v>
      </c>
      <c r="F67" s="322"/>
      <c r="G67" s="409" t="str">
        <f>IF(ISBLANK(F67),"-",(F67/$D$50*$D$47*$B$68)*($B$57/$D$64))</f>
        <v>-</v>
      </c>
      <c r="H67" s="325" t="str">
        <f t="shared" si="0"/>
        <v>-</v>
      </c>
    </row>
    <row r="68" spans="1:8" ht="26.25" customHeight="1" x14ac:dyDescent="0.4">
      <c r="A68" s="257" t="s">
        <v>96</v>
      </c>
      <c r="B68" s="326">
        <f>(B67/B66)*(B65/B64)*(B63/B62)*(B61/B60)*B59</f>
        <v>1000</v>
      </c>
      <c r="C68" s="494" t="s">
        <v>97</v>
      </c>
      <c r="D68" s="497">
        <v>540.14</v>
      </c>
      <c r="E68" s="315">
        <v>1</v>
      </c>
      <c r="F68" s="316">
        <v>14914963</v>
      </c>
      <c r="G68" s="407">
        <f>IF(ISBLANK(F68),"-",(F68/$D$50*$D$47*$B$68)*($B$57/$D$68))</f>
        <v>321.92180889603338</v>
      </c>
      <c r="H68" s="319">
        <f>IF(ISBLANK(F68),"-",G68/$B$56)</f>
        <v>1.0060056528001042</v>
      </c>
    </row>
    <row r="69" spans="1:8" ht="27" customHeight="1" x14ac:dyDescent="0.4">
      <c r="A69" s="305" t="s">
        <v>98</v>
      </c>
      <c r="B69" s="327">
        <f>(D47*B68)/B56*B57</f>
        <v>618.16617187499992</v>
      </c>
      <c r="C69" s="495"/>
      <c r="D69" s="498"/>
      <c r="E69" s="318">
        <v>2</v>
      </c>
      <c r="F69" s="270">
        <v>14874169</v>
      </c>
      <c r="G69" s="408">
        <f>IF(ISBLANK(F69),"-",(F69/$D$50*$D$47*$B$68)*($B$57/$D$68))</f>
        <v>321.04131872840071</v>
      </c>
      <c r="H69" s="319">
        <f t="shared" si="0"/>
        <v>1.0032541210262522</v>
      </c>
    </row>
    <row r="70" spans="1:8" ht="26.25" customHeight="1" x14ac:dyDescent="0.4">
      <c r="A70" s="500" t="s">
        <v>71</v>
      </c>
      <c r="B70" s="501"/>
      <c r="C70" s="495"/>
      <c r="D70" s="498"/>
      <c r="E70" s="318">
        <v>3</v>
      </c>
      <c r="F70" s="270">
        <v>14804184</v>
      </c>
      <c r="G70" s="408">
        <f>IF(ISBLANK(F70),"-",(F70/$D$50*$D$47*$B$68)*($B$57/$D$68))</f>
        <v>319.53077540384879</v>
      </c>
      <c r="H70" s="319">
        <f t="shared" si="0"/>
        <v>0.99853367313702746</v>
      </c>
    </row>
    <row r="71" spans="1:8" ht="27" customHeight="1" x14ac:dyDescent="0.4">
      <c r="A71" s="502"/>
      <c r="B71" s="503"/>
      <c r="C71" s="496"/>
      <c r="D71" s="499"/>
      <c r="E71" s="321">
        <v>4</v>
      </c>
      <c r="F71" s="322"/>
      <c r="G71" s="409" t="str">
        <f>IF(ISBLANK(F71),"-",(F71/$D$50*$D$47*$B$68)*($B$57/$D$68))</f>
        <v>-</v>
      </c>
      <c r="H71" s="328" t="str">
        <f t="shared" si="0"/>
        <v>-</v>
      </c>
    </row>
    <row r="72" spans="1:8" ht="26.25" customHeight="1" x14ac:dyDescent="0.4">
      <c r="A72" s="329"/>
      <c r="B72" s="329"/>
      <c r="C72" s="329"/>
      <c r="D72" s="329"/>
      <c r="E72" s="329"/>
      <c r="F72" s="330"/>
      <c r="G72" s="331" t="s">
        <v>64</v>
      </c>
      <c r="H72" s="332">
        <f>AVERAGE(H60:H71)</f>
        <v>0.98973720129164855</v>
      </c>
    </row>
    <row r="73" spans="1:8" ht="26.25" customHeight="1" x14ac:dyDescent="0.4">
      <c r="C73" s="329"/>
      <c r="D73" s="329"/>
      <c r="E73" s="329"/>
      <c r="F73" s="330"/>
      <c r="G73" s="333" t="s">
        <v>77</v>
      </c>
      <c r="H73" s="410">
        <f>STDEV(H60:H71)/H72</f>
        <v>1.0841528092387339E-2</v>
      </c>
    </row>
    <row r="74" spans="1:8" ht="27" customHeight="1" x14ac:dyDescent="0.4">
      <c r="A74" s="329"/>
      <c r="B74" s="329"/>
      <c r="C74" s="330"/>
      <c r="D74" s="330"/>
      <c r="E74" s="334"/>
      <c r="F74" s="330"/>
      <c r="G74" s="335" t="s">
        <v>20</v>
      </c>
      <c r="H74" s="336">
        <f>COUNT(H60:H71)</f>
        <v>9</v>
      </c>
    </row>
    <row r="76" spans="1:8" ht="26.25" customHeight="1" x14ac:dyDescent="0.4">
      <c r="A76" s="241" t="s">
        <v>99</v>
      </c>
      <c r="B76" s="337" t="s">
        <v>100</v>
      </c>
      <c r="C76" s="481" t="str">
        <f>B20</f>
        <v>Piperaquine Phosphate</v>
      </c>
      <c r="D76" s="481"/>
      <c r="E76" s="338" t="s">
        <v>101</v>
      </c>
      <c r="F76" s="338"/>
      <c r="G76" s="339">
        <f>H72</f>
        <v>0.98973720129164855</v>
      </c>
      <c r="H76" s="340"/>
    </row>
    <row r="77" spans="1:8" ht="18.75" x14ac:dyDescent="0.3">
      <c r="A77" s="240" t="s">
        <v>102</v>
      </c>
      <c r="B77" s="240" t="s">
        <v>103</v>
      </c>
    </row>
    <row r="78" spans="1:8" ht="18.75" x14ac:dyDescent="0.3">
      <c r="A78" s="240"/>
      <c r="B78" s="240"/>
    </row>
    <row r="79" spans="1:8" ht="26.25" customHeight="1" x14ac:dyDescent="0.4">
      <c r="A79" s="241" t="s">
        <v>4</v>
      </c>
      <c r="B79" s="504" t="str">
        <f>B26</f>
        <v>Piperaquine PO4</v>
      </c>
      <c r="C79" s="504"/>
    </row>
    <row r="80" spans="1:8" ht="26.25" customHeight="1" x14ac:dyDescent="0.4">
      <c r="A80" s="242" t="s">
        <v>41</v>
      </c>
      <c r="B80" s="504">
        <f>B27</f>
        <v>0</v>
      </c>
      <c r="C80" s="504"/>
    </row>
    <row r="81" spans="1:12" ht="27" customHeight="1" x14ac:dyDescent="0.4">
      <c r="A81" s="242" t="s">
        <v>6</v>
      </c>
      <c r="B81" s="341">
        <f>B28</f>
        <v>99.08</v>
      </c>
    </row>
    <row r="82" spans="1:12" s="14" customFormat="1" ht="27" customHeight="1" x14ac:dyDescent="0.4">
      <c r="A82" s="242" t="s">
        <v>42</v>
      </c>
      <c r="B82" s="244">
        <v>0</v>
      </c>
      <c r="C82" s="483" t="s">
        <v>43</v>
      </c>
      <c r="D82" s="484"/>
      <c r="E82" s="484"/>
      <c r="F82" s="484"/>
      <c r="G82" s="485"/>
      <c r="I82" s="245"/>
      <c r="J82" s="245"/>
      <c r="K82" s="245"/>
      <c r="L82" s="245"/>
    </row>
    <row r="83" spans="1:12" s="14" customFormat="1" ht="19.5" customHeight="1" x14ac:dyDescent="0.3">
      <c r="A83" s="242" t="s">
        <v>44</v>
      </c>
      <c r="B83" s="246">
        <f>B81-B82</f>
        <v>99.08</v>
      </c>
      <c r="C83" s="247"/>
      <c r="D83" s="247"/>
      <c r="E83" s="247"/>
      <c r="F83" s="247"/>
      <c r="G83" s="248"/>
      <c r="I83" s="245"/>
      <c r="J83" s="245"/>
      <c r="K83" s="245"/>
      <c r="L83" s="245"/>
    </row>
    <row r="84" spans="1:12" s="14" customFormat="1" ht="27" customHeight="1" x14ac:dyDescent="0.4">
      <c r="A84" s="242" t="s">
        <v>45</v>
      </c>
      <c r="B84" s="249">
        <v>154.46</v>
      </c>
      <c r="C84" s="486" t="s">
        <v>104</v>
      </c>
      <c r="D84" s="487"/>
      <c r="E84" s="487"/>
      <c r="F84" s="487"/>
      <c r="G84" s="487"/>
      <c r="H84" s="488"/>
      <c r="I84" s="245"/>
      <c r="J84" s="245"/>
      <c r="K84" s="245"/>
      <c r="L84" s="245"/>
    </row>
    <row r="85" spans="1:12" s="14" customFormat="1" ht="27" customHeight="1" x14ac:dyDescent="0.4">
      <c r="A85" s="242" t="s">
        <v>47</v>
      </c>
      <c r="B85" s="249">
        <v>165.23</v>
      </c>
      <c r="C85" s="486" t="s">
        <v>105</v>
      </c>
      <c r="D85" s="487"/>
      <c r="E85" s="487"/>
      <c r="F85" s="487"/>
      <c r="G85" s="487"/>
      <c r="H85" s="488"/>
      <c r="I85" s="245"/>
      <c r="J85" s="245"/>
      <c r="K85" s="245"/>
      <c r="L85" s="245"/>
    </row>
    <row r="86" spans="1:12" s="14" customFormat="1" ht="18.75" x14ac:dyDescent="0.3">
      <c r="A86" s="242"/>
      <c r="B86" s="252"/>
      <c r="C86" s="253"/>
      <c r="D86" s="253"/>
      <c r="E86" s="253"/>
      <c r="F86" s="253"/>
      <c r="G86" s="253"/>
      <c r="H86" s="253"/>
      <c r="I86" s="245"/>
      <c r="J86" s="245"/>
      <c r="K86" s="245"/>
      <c r="L86" s="245"/>
    </row>
    <row r="87" spans="1:12" s="14" customFormat="1" ht="18.75" x14ac:dyDescent="0.3">
      <c r="A87" s="242" t="s">
        <v>49</v>
      </c>
      <c r="B87" s="254">
        <f>B84/B85</f>
        <v>0.93481813230042976</v>
      </c>
      <c r="C87" s="232" t="s">
        <v>50</v>
      </c>
      <c r="D87" s="232"/>
      <c r="E87" s="232"/>
      <c r="F87" s="232"/>
      <c r="G87" s="232"/>
      <c r="I87" s="245"/>
      <c r="J87" s="245"/>
      <c r="K87" s="245"/>
      <c r="L87" s="245"/>
    </row>
    <row r="88" spans="1:12" ht="19.5" customHeight="1" x14ac:dyDescent="0.3">
      <c r="A88" s="240"/>
      <c r="B88" s="240"/>
    </row>
    <row r="89" spans="1:12" ht="27" customHeight="1" x14ac:dyDescent="0.4">
      <c r="A89" s="255" t="s">
        <v>51</v>
      </c>
      <c r="B89" s="256">
        <v>50</v>
      </c>
      <c r="D89" s="342" t="s">
        <v>52</v>
      </c>
      <c r="E89" s="343"/>
      <c r="F89" s="489" t="s">
        <v>53</v>
      </c>
      <c r="G89" s="490"/>
    </row>
    <row r="90" spans="1:12" ht="27" customHeight="1" x14ac:dyDescent="0.4">
      <c r="A90" s="257" t="s">
        <v>54</v>
      </c>
      <c r="B90" s="258">
        <v>1</v>
      </c>
      <c r="C90" s="344" t="s">
        <v>55</v>
      </c>
      <c r="D90" s="260" t="s">
        <v>56</v>
      </c>
      <c r="E90" s="261" t="s">
        <v>57</v>
      </c>
      <c r="F90" s="260" t="s">
        <v>56</v>
      </c>
      <c r="G90" s="345" t="s">
        <v>57</v>
      </c>
      <c r="I90" s="263" t="s">
        <v>58</v>
      </c>
    </row>
    <row r="91" spans="1:12" ht="26.25" customHeight="1" x14ac:dyDescent="0.4">
      <c r="A91" s="257" t="s">
        <v>59</v>
      </c>
      <c r="B91" s="258">
        <v>1</v>
      </c>
      <c r="C91" s="346">
        <v>1</v>
      </c>
      <c r="D91" s="265">
        <v>17788356</v>
      </c>
      <c r="E91" s="266">
        <f>IF(ISBLANK(D91),"-",$D$101/$D$98*D91)</f>
        <v>16986507.79223603</v>
      </c>
      <c r="F91" s="265">
        <v>15807679</v>
      </c>
      <c r="G91" s="267">
        <f>IF(ISBLANK(F91),"-",$D$101/$F$98*F91)</f>
        <v>17064780.220719561</v>
      </c>
      <c r="I91" s="268"/>
    </row>
    <row r="92" spans="1:12" ht="26.25" customHeight="1" x14ac:dyDescent="0.4">
      <c r="A92" s="257" t="s">
        <v>60</v>
      </c>
      <c r="B92" s="258">
        <v>1</v>
      </c>
      <c r="C92" s="330">
        <v>2</v>
      </c>
      <c r="D92" s="270">
        <v>17989187</v>
      </c>
      <c r="E92" s="271">
        <f>IF(ISBLANK(D92),"-",$D$101/$D$98*D92)</f>
        <v>17178285.90520063</v>
      </c>
      <c r="F92" s="270">
        <v>15797938</v>
      </c>
      <c r="G92" s="272">
        <f>IF(ISBLANK(F92),"-",$D$101/$F$98*F92)</f>
        <v>17054264.570437819</v>
      </c>
      <c r="I92" s="491">
        <f>ABS((F96/D96*D95)-F95)/D95</f>
        <v>1.6286424043785025E-3</v>
      </c>
    </row>
    <row r="93" spans="1:12" ht="26.25" customHeight="1" x14ac:dyDescent="0.4">
      <c r="A93" s="257" t="s">
        <v>61</v>
      </c>
      <c r="B93" s="258">
        <v>1</v>
      </c>
      <c r="C93" s="330">
        <v>3</v>
      </c>
      <c r="D93" s="270">
        <v>18042754</v>
      </c>
      <c r="E93" s="271">
        <f>IF(ISBLANK(D93),"-",$D$101/$D$98*D93)</f>
        <v>17229438.258060373</v>
      </c>
      <c r="F93" s="270">
        <v>15914932</v>
      </c>
      <c r="G93" s="272">
        <f>IF(ISBLANK(F93),"-",$D$101/$F$98*F93)</f>
        <v>17180562.485339992</v>
      </c>
      <c r="I93" s="491"/>
    </row>
    <row r="94" spans="1:12" ht="27" customHeight="1" x14ac:dyDescent="0.4">
      <c r="A94" s="257" t="s">
        <v>62</v>
      </c>
      <c r="B94" s="258">
        <v>1</v>
      </c>
      <c r="C94" s="347">
        <v>4</v>
      </c>
      <c r="D94" s="275"/>
      <c r="E94" s="276" t="str">
        <f>IF(ISBLANK(D94),"-",$D$101/$D$98*D94)</f>
        <v>-</v>
      </c>
      <c r="F94" s="275"/>
      <c r="G94" s="277" t="str">
        <f>IF(ISBLANK(F94),"-",$D$101/$F$98*F94)</f>
        <v>-</v>
      </c>
      <c r="I94" s="278"/>
    </row>
    <row r="95" spans="1:12" ht="27" customHeight="1" x14ac:dyDescent="0.4">
      <c r="A95" s="257" t="s">
        <v>63</v>
      </c>
      <c r="B95" s="258">
        <v>1</v>
      </c>
      <c r="C95" s="348" t="s">
        <v>64</v>
      </c>
      <c r="D95" s="349">
        <f>AVERAGE(D91:D94)</f>
        <v>17940099</v>
      </c>
      <c r="E95" s="281">
        <f>AVERAGE(E91:E94)</f>
        <v>17131410.651832346</v>
      </c>
      <c r="F95" s="350">
        <f>AVERAGE(F91:F94)</f>
        <v>15840183</v>
      </c>
      <c r="G95" s="351">
        <f>AVERAGE(G91:G94)</f>
        <v>17099869.09216579</v>
      </c>
    </row>
    <row r="96" spans="1:12" ht="26.25" customHeight="1" x14ac:dyDescent="0.4">
      <c r="A96" s="257" t="s">
        <v>65</v>
      </c>
      <c r="B96" s="243">
        <v>1</v>
      </c>
      <c r="C96" s="352" t="s">
        <v>106</v>
      </c>
      <c r="D96" s="353">
        <v>20.100000000000001</v>
      </c>
      <c r="E96" s="273"/>
      <c r="F96" s="285">
        <v>17.78</v>
      </c>
    </row>
    <row r="97" spans="1:10" ht="26.25" customHeight="1" x14ac:dyDescent="0.4">
      <c r="A97" s="257" t="s">
        <v>67</v>
      </c>
      <c r="B97" s="243">
        <v>1</v>
      </c>
      <c r="C97" s="354" t="s">
        <v>107</v>
      </c>
      <c r="D97" s="355">
        <f>D96*$B$87</f>
        <v>18.78984445923864</v>
      </c>
      <c r="E97" s="288"/>
      <c r="F97" s="287">
        <f>F96*$B$87</f>
        <v>16.621066392301643</v>
      </c>
    </row>
    <row r="98" spans="1:10" ht="19.5" customHeight="1" x14ac:dyDescent="0.3">
      <c r="A98" s="257" t="s">
        <v>69</v>
      </c>
      <c r="B98" s="356">
        <f>(B97/B96)*(B95/B94)*(B93/B92)*(B91/B90)*B89</f>
        <v>50</v>
      </c>
      <c r="C98" s="354" t="s">
        <v>108</v>
      </c>
      <c r="D98" s="357">
        <f>D97*$B$83/100</f>
        <v>18.616977890213647</v>
      </c>
      <c r="E98" s="291"/>
      <c r="F98" s="290">
        <f>F97*$B$83/100</f>
        <v>16.468152581492468</v>
      </c>
    </row>
    <row r="99" spans="1:10" ht="19.5" customHeight="1" x14ac:dyDescent="0.3">
      <c r="A99" s="477" t="s">
        <v>71</v>
      </c>
      <c r="B99" s="492"/>
      <c r="C99" s="354" t="s">
        <v>109</v>
      </c>
      <c r="D99" s="358">
        <f>D98/$B$98</f>
        <v>0.37233955780427297</v>
      </c>
      <c r="E99" s="291"/>
      <c r="F99" s="294">
        <f>F98/$B$98</f>
        <v>0.32936305162984936</v>
      </c>
      <c r="G99" s="359"/>
      <c r="H99" s="283"/>
    </row>
    <row r="100" spans="1:10" ht="19.5" customHeight="1" x14ac:dyDescent="0.3">
      <c r="A100" s="479"/>
      <c r="B100" s="493"/>
      <c r="C100" s="354" t="s">
        <v>73</v>
      </c>
      <c r="D100" s="360">
        <f>$B$56/$B$116</f>
        <v>0.35555555555555557</v>
      </c>
      <c r="F100" s="299"/>
      <c r="G100" s="361"/>
      <c r="H100" s="283"/>
    </row>
    <row r="101" spans="1:10" ht="18.75" x14ac:dyDescent="0.3">
      <c r="C101" s="354" t="s">
        <v>74</v>
      </c>
      <c r="D101" s="355">
        <f>D100*$B$98</f>
        <v>17.777777777777779</v>
      </c>
      <c r="F101" s="299"/>
      <c r="G101" s="359"/>
      <c r="H101" s="283"/>
    </row>
    <row r="102" spans="1:10" ht="19.5" customHeight="1" x14ac:dyDescent="0.3">
      <c r="C102" s="362" t="s">
        <v>75</v>
      </c>
      <c r="D102" s="363">
        <f>D101/B34</f>
        <v>17.777777777777779</v>
      </c>
      <c r="F102" s="303"/>
      <c r="G102" s="359"/>
      <c r="H102" s="283"/>
      <c r="J102" s="364"/>
    </row>
    <row r="103" spans="1:10" ht="18.75" x14ac:dyDescent="0.3">
      <c r="C103" s="365" t="s">
        <v>110</v>
      </c>
      <c r="D103" s="366">
        <f>AVERAGE(E91:E94,G91:G94)</f>
        <v>17115639.87199907</v>
      </c>
      <c r="F103" s="303"/>
      <c r="G103" s="367"/>
      <c r="H103" s="283"/>
      <c r="J103" s="368"/>
    </row>
    <row r="104" spans="1:10" ht="18.75" x14ac:dyDescent="0.3">
      <c r="C104" s="333" t="s">
        <v>77</v>
      </c>
      <c r="D104" s="369">
        <f>STDEV(E91:E94,G91:G94)/D103</f>
        <v>5.4882147074658055E-3</v>
      </c>
      <c r="F104" s="303"/>
      <c r="G104" s="359"/>
      <c r="H104" s="283"/>
      <c r="J104" s="368"/>
    </row>
    <row r="105" spans="1:10" ht="19.5" customHeight="1" x14ac:dyDescent="0.3">
      <c r="C105" s="335" t="s">
        <v>20</v>
      </c>
      <c r="D105" s="370">
        <f>COUNT(E91:E94,G91:G94)</f>
        <v>6</v>
      </c>
      <c r="F105" s="303"/>
      <c r="G105" s="359"/>
      <c r="H105" s="283"/>
      <c r="J105" s="368"/>
    </row>
    <row r="106" spans="1:10" ht="19.5" customHeight="1" x14ac:dyDescent="0.3">
      <c r="A106" s="307"/>
      <c r="B106" s="307"/>
      <c r="C106" s="307"/>
      <c r="D106" s="307"/>
      <c r="E106" s="307"/>
    </row>
    <row r="107" spans="1:10" ht="26.25" customHeight="1" x14ac:dyDescent="0.4">
      <c r="A107" s="255" t="s">
        <v>111</v>
      </c>
      <c r="B107" s="256">
        <v>900</v>
      </c>
      <c r="C107" s="371" t="s">
        <v>112</v>
      </c>
      <c r="D107" s="372" t="s">
        <v>56</v>
      </c>
      <c r="E107" s="373" t="s">
        <v>113</v>
      </c>
      <c r="F107" s="374" t="s">
        <v>114</v>
      </c>
    </row>
    <row r="108" spans="1:10" ht="26.25" customHeight="1" x14ac:dyDescent="0.4">
      <c r="A108" s="257" t="s">
        <v>115</v>
      </c>
      <c r="B108" s="258">
        <v>1</v>
      </c>
      <c r="C108" s="375">
        <v>1</v>
      </c>
      <c r="D108" s="376">
        <v>14850959</v>
      </c>
      <c r="E108" s="411">
        <f t="shared" ref="E108:E113" si="1">IF(ISBLANK(D108),"-",D108/$D$103*$D$100*$B$116)</f>
        <v>277.65873292150201</v>
      </c>
      <c r="F108" s="377">
        <f t="shared" ref="F108:F113" si="2">IF(ISBLANK(D108), "-", E108/$B$56)</f>
        <v>0.86768354037969375</v>
      </c>
    </row>
    <row r="109" spans="1:10" ht="26.25" customHeight="1" x14ac:dyDescent="0.4">
      <c r="A109" s="257" t="s">
        <v>88</v>
      </c>
      <c r="B109" s="258">
        <v>1</v>
      </c>
      <c r="C109" s="375">
        <v>2</v>
      </c>
      <c r="D109" s="376">
        <v>14823132</v>
      </c>
      <c r="E109" s="412">
        <f t="shared" si="1"/>
        <v>277.13846957951802</v>
      </c>
      <c r="F109" s="378">
        <f t="shared" si="2"/>
        <v>0.8660577174359938</v>
      </c>
    </row>
    <row r="110" spans="1:10" ht="26.25" customHeight="1" x14ac:dyDescent="0.4">
      <c r="A110" s="257" t="s">
        <v>89</v>
      </c>
      <c r="B110" s="258">
        <v>1</v>
      </c>
      <c r="C110" s="375">
        <v>3</v>
      </c>
      <c r="D110" s="376">
        <v>14814832</v>
      </c>
      <c r="E110" s="412">
        <f t="shared" si="1"/>
        <v>276.98328987137603</v>
      </c>
      <c r="F110" s="378">
        <f t="shared" si="2"/>
        <v>0.86557278084805012</v>
      </c>
    </row>
    <row r="111" spans="1:10" ht="26.25" customHeight="1" x14ac:dyDescent="0.4">
      <c r="A111" s="257" t="s">
        <v>90</v>
      </c>
      <c r="B111" s="258">
        <v>1</v>
      </c>
      <c r="C111" s="375">
        <v>4</v>
      </c>
      <c r="D111" s="376">
        <v>14876897</v>
      </c>
      <c r="E111" s="412">
        <f t="shared" si="1"/>
        <v>278.14367885762084</v>
      </c>
      <c r="F111" s="378">
        <f t="shared" si="2"/>
        <v>0.86919899643006515</v>
      </c>
    </row>
    <row r="112" spans="1:10" ht="26.25" customHeight="1" x14ac:dyDescent="0.4">
      <c r="A112" s="257" t="s">
        <v>91</v>
      </c>
      <c r="B112" s="258">
        <v>1</v>
      </c>
      <c r="C112" s="375">
        <v>5</v>
      </c>
      <c r="D112" s="376">
        <v>14882804</v>
      </c>
      <c r="E112" s="412">
        <f t="shared" si="1"/>
        <v>278.25411819930696</v>
      </c>
      <c r="F112" s="378">
        <f t="shared" si="2"/>
        <v>0.86954411937283427</v>
      </c>
    </row>
    <row r="113" spans="1:10" ht="26.25" customHeight="1" x14ac:dyDescent="0.4">
      <c r="A113" s="257" t="s">
        <v>93</v>
      </c>
      <c r="B113" s="258">
        <v>1</v>
      </c>
      <c r="C113" s="379">
        <v>6</v>
      </c>
      <c r="D113" s="380">
        <v>14903905</v>
      </c>
      <c r="E113" s="413">
        <f t="shared" si="1"/>
        <v>278.64862988864479</v>
      </c>
      <c r="F113" s="381">
        <f t="shared" si="2"/>
        <v>0.87077696840201502</v>
      </c>
    </row>
    <row r="114" spans="1:10" ht="26.25" customHeight="1" x14ac:dyDescent="0.4">
      <c r="A114" s="257" t="s">
        <v>94</v>
      </c>
      <c r="B114" s="258">
        <v>1</v>
      </c>
      <c r="C114" s="375"/>
      <c r="D114" s="330"/>
      <c r="E114" s="231"/>
      <c r="F114" s="382"/>
    </row>
    <row r="115" spans="1:10" ht="26.25" customHeight="1" x14ac:dyDescent="0.4">
      <c r="A115" s="257" t="s">
        <v>95</v>
      </c>
      <c r="B115" s="258">
        <v>1</v>
      </c>
      <c r="C115" s="375"/>
      <c r="D115" s="383"/>
      <c r="E115" s="384" t="s">
        <v>64</v>
      </c>
      <c r="F115" s="385">
        <f>AVERAGE(F108:F113)</f>
        <v>0.86813902047810865</v>
      </c>
    </row>
    <row r="116" spans="1:10" ht="27" customHeight="1" x14ac:dyDescent="0.4">
      <c r="A116" s="257" t="s">
        <v>96</v>
      </c>
      <c r="B116" s="289">
        <f>(B115/B114)*(B113/B112)*(B111/B110)*(B109/B108)*B107</f>
        <v>900</v>
      </c>
      <c r="C116" s="386"/>
      <c r="D116" s="387"/>
      <c r="E116" s="348" t="s">
        <v>77</v>
      </c>
      <c r="F116" s="388">
        <f>STDEV(F108:F113)/F115</f>
        <v>2.3708495187747453E-3</v>
      </c>
      <c r="I116" s="231"/>
    </row>
    <row r="117" spans="1:10" ht="27" customHeight="1" x14ac:dyDescent="0.4">
      <c r="A117" s="477" t="s">
        <v>71</v>
      </c>
      <c r="B117" s="478"/>
      <c r="C117" s="389"/>
      <c r="D117" s="390"/>
      <c r="E117" s="391" t="s">
        <v>20</v>
      </c>
      <c r="F117" s="392">
        <f>COUNT(F108:F113)</f>
        <v>6</v>
      </c>
      <c r="I117" s="231"/>
      <c r="J117" s="368"/>
    </row>
    <row r="118" spans="1:10" ht="19.5" customHeight="1" x14ac:dyDescent="0.3">
      <c r="A118" s="479"/>
      <c r="B118" s="480"/>
      <c r="C118" s="231"/>
      <c r="D118" s="231"/>
      <c r="E118" s="231"/>
      <c r="F118" s="330"/>
      <c r="G118" s="231"/>
      <c r="H118" s="231"/>
      <c r="I118" s="231"/>
    </row>
    <row r="119" spans="1:10" ht="18.75" x14ac:dyDescent="0.3">
      <c r="A119" s="401"/>
      <c r="B119" s="253"/>
      <c r="C119" s="231"/>
      <c r="D119" s="231"/>
      <c r="E119" s="231"/>
      <c r="F119" s="330"/>
      <c r="G119" s="231"/>
      <c r="H119" s="231"/>
      <c r="I119" s="231"/>
    </row>
    <row r="120" spans="1:10" ht="26.25" customHeight="1" x14ac:dyDescent="0.4">
      <c r="A120" s="241" t="s">
        <v>99</v>
      </c>
      <c r="B120" s="337" t="s">
        <v>116</v>
      </c>
      <c r="C120" s="481" t="str">
        <f>B20</f>
        <v>Piperaquine Phosphate</v>
      </c>
      <c r="D120" s="481"/>
      <c r="E120" s="338" t="s">
        <v>117</v>
      </c>
      <c r="F120" s="338"/>
      <c r="G120" s="339">
        <f>F115</f>
        <v>0.86813902047810865</v>
      </c>
      <c r="H120" s="231"/>
      <c r="I120" s="231"/>
    </row>
    <row r="121" spans="1:10" ht="19.5" customHeight="1" x14ac:dyDescent="0.3">
      <c r="A121" s="393"/>
      <c r="B121" s="393"/>
      <c r="C121" s="394"/>
      <c r="D121" s="394"/>
      <c r="E121" s="394"/>
      <c r="F121" s="394"/>
      <c r="G121" s="394"/>
      <c r="H121" s="394"/>
    </row>
    <row r="122" spans="1:10" ht="18.75" x14ac:dyDescent="0.3">
      <c r="B122" s="482" t="s">
        <v>26</v>
      </c>
      <c r="C122" s="482"/>
      <c r="E122" s="344" t="s">
        <v>27</v>
      </c>
      <c r="F122" s="395"/>
      <c r="G122" s="482" t="s">
        <v>28</v>
      </c>
      <c r="H122" s="482"/>
    </row>
    <row r="123" spans="1:10" ht="69.95" customHeight="1" x14ac:dyDescent="0.3">
      <c r="A123" s="396" t="s">
        <v>29</v>
      </c>
      <c r="B123" s="397" t="s">
        <v>126</v>
      </c>
      <c r="C123" s="397"/>
      <c r="E123" s="397" t="s">
        <v>127</v>
      </c>
      <c r="F123" s="231"/>
      <c r="G123" s="398"/>
      <c r="H123" s="398"/>
    </row>
    <row r="124" spans="1:10" ht="69.95" customHeight="1" x14ac:dyDescent="0.3">
      <c r="A124" s="396" t="s">
        <v>30</v>
      </c>
      <c r="B124" s="399"/>
      <c r="C124" s="399"/>
      <c r="E124" s="399"/>
      <c r="F124" s="231"/>
      <c r="G124" s="400"/>
      <c r="H124" s="400"/>
    </row>
    <row r="125" spans="1:10" ht="18.75" x14ac:dyDescent="0.3">
      <c r="A125" s="329"/>
      <c r="B125" s="329"/>
      <c r="C125" s="330"/>
      <c r="D125" s="330"/>
      <c r="E125" s="330"/>
      <c r="F125" s="334"/>
      <c r="G125" s="330"/>
      <c r="H125" s="330"/>
      <c r="I125" s="231"/>
    </row>
    <row r="126" spans="1:10" ht="18.75" x14ac:dyDescent="0.3">
      <c r="A126" s="329"/>
      <c r="B126" s="329"/>
      <c r="C126" s="330"/>
      <c r="D126" s="330"/>
      <c r="E126" s="330"/>
      <c r="F126" s="334"/>
      <c r="G126" s="330"/>
      <c r="H126" s="330"/>
      <c r="I126" s="231"/>
    </row>
    <row r="127" spans="1:10" ht="18.75" x14ac:dyDescent="0.3">
      <c r="A127" s="329"/>
      <c r="B127" s="329"/>
      <c r="C127" s="330"/>
      <c r="D127" s="330"/>
      <c r="E127" s="330"/>
      <c r="F127" s="334"/>
      <c r="G127" s="330"/>
      <c r="H127" s="330"/>
      <c r="I127" s="231"/>
    </row>
    <row r="128" spans="1:10" ht="18.75" x14ac:dyDescent="0.3">
      <c r="A128" s="329"/>
      <c r="B128" s="329"/>
      <c r="C128" s="330"/>
      <c r="D128" s="330"/>
      <c r="E128" s="330"/>
      <c r="F128" s="334"/>
      <c r="G128" s="330"/>
      <c r="H128" s="330"/>
      <c r="I128" s="231"/>
    </row>
    <row r="129" spans="1:9" ht="18.75" x14ac:dyDescent="0.3">
      <c r="A129" s="329"/>
      <c r="B129" s="329"/>
      <c r="C129" s="330"/>
      <c r="D129" s="330"/>
      <c r="E129" s="330"/>
      <c r="F129" s="334"/>
      <c r="G129" s="330"/>
      <c r="H129" s="330"/>
      <c r="I129" s="231"/>
    </row>
    <row r="130" spans="1:9" ht="18.75" x14ac:dyDescent="0.3">
      <c r="A130" s="329"/>
      <c r="B130" s="329"/>
      <c r="C130" s="330"/>
      <c r="D130" s="330"/>
      <c r="E130" s="330"/>
      <c r="F130" s="334"/>
      <c r="G130" s="330"/>
      <c r="H130" s="330"/>
      <c r="I130" s="231"/>
    </row>
    <row r="131" spans="1:9" ht="18.75" x14ac:dyDescent="0.3">
      <c r="A131" s="329"/>
      <c r="B131" s="329"/>
      <c r="C131" s="330"/>
      <c r="D131" s="330"/>
      <c r="E131" s="330"/>
      <c r="F131" s="334"/>
      <c r="G131" s="330"/>
      <c r="H131" s="330"/>
      <c r="I131" s="231"/>
    </row>
    <row r="132" spans="1:9" ht="18.75" x14ac:dyDescent="0.3">
      <c r="A132" s="329"/>
      <c r="B132" s="329"/>
      <c r="C132" s="330"/>
      <c r="D132" s="330"/>
      <c r="E132" s="330"/>
      <c r="F132" s="334"/>
      <c r="G132" s="330"/>
      <c r="H132" s="330"/>
      <c r="I132" s="231"/>
    </row>
    <row r="133" spans="1:9" ht="18.75" x14ac:dyDescent="0.3">
      <c r="A133" s="329"/>
      <c r="B133" s="329"/>
      <c r="C133" s="330"/>
      <c r="D133" s="330"/>
      <c r="E133" s="330"/>
      <c r="F133" s="334"/>
      <c r="G133" s="330"/>
      <c r="H133" s="330"/>
      <c r="I133" s="231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28" priority="1" operator="greaterThan">
      <formula>0.02</formula>
    </cfRule>
  </conditionalFormatting>
  <conditionalFormatting sqref="D51">
    <cfRule type="cellIs" dxfId="27" priority="2" operator="greaterThan">
      <formula>0.02</formula>
    </cfRule>
  </conditionalFormatting>
  <conditionalFormatting sqref="H73">
    <cfRule type="cellIs" dxfId="26" priority="3" operator="greaterThan">
      <formula>0.02</formula>
    </cfRule>
  </conditionalFormatting>
  <conditionalFormatting sqref="D104">
    <cfRule type="cellIs" dxfId="25" priority="4" operator="greaterThan">
      <formula>0.02</formula>
    </cfRule>
  </conditionalFormatting>
  <conditionalFormatting sqref="I39">
    <cfRule type="cellIs" dxfId="24" priority="5" operator="lessThanOrEqual">
      <formula>0.02</formula>
    </cfRule>
  </conditionalFormatting>
  <conditionalFormatting sqref="I39">
    <cfRule type="cellIs" dxfId="23" priority="6" operator="greaterThan">
      <formula>0.02</formula>
    </cfRule>
  </conditionalFormatting>
  <conditionalFormatting sqref="I92">
    <cfRule type="cellIs" dxfId="22" priority="7" operator="lessThanOrEqual">
      <formula>0.02</formula>
    </cfRule>
  </conditionalFormatting>
  <conditionalFormatting sqref="I92">
    <cfRule type="cellIs" dxfId="21" priority="8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2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1" workbookViewId="0">
      <selection activeCell="F44" sqref="F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18" t="s">
        <v>33</v>
      </c>
      <c r="B11" s="519"/>
      <c r="C11" s="519"/>
      <c r="D11" s="519"/>
      <c r="E11" s="519"/>
      <c r="F11" s="520"/>
      <c r="G11" s="452"/>
    </row>
    <row r="12" spans="1:7" ht="16.5" customHeight="1" x14ac:dyDescent="0.3">
      <c r="A12" s="517" t="s">
        <v>118</v>
      </c>
      <c r="B12" s="517"/>
      <c r="C12" s="517"/>
      <c r="D12" s="517"/>
      <c r="E12" s="517"/>
      <c r="F12" s="517"/>
      <c r="G12" s="451"/>
    </row>
    <row r="14" spans="1:7" ht="16.5" customHeight="1" x14ac:dyDescent="0.3">
      <c r="A14" s="522" t="s">
        <v>35</v>
      </c>
      <c r="B14" s="522"/>
      <c r="C14" s="422" t="s">
        <v>5</v>
      </c>
    </row>
    <row r="15" spans="1:7" ht="16.5" customHeight="1" x14ac:dyDescent="0.3">
      <c r="A15" s="522" t="s">
        <v>36</v>
      </c>
      <c r="B15" s="522"/>
      <c r="C15" s="422" t="s">
        <v>128</v>
      </c>
    </row>
    <row r="16" spans="1:7" ht="16.5" customHeight="1" x14ac:dyDescent="0.3">
      <c r="A16" s="522" t="s">
        <v>37</v>
      </c>
      <c r="B16" s="522"/>
      <c r="C16" s="422" t="s">
        <v>9</v>
      </c>
    </row>
    <row r="17" spans="1:5" ht="16.5" customHeight="1" x14ac:dyDescent="0.3">
      <c r="A17" s="522" t="s">
        <v>38</v>
      </c>
      <c r="B17" s="522"/>
      <c r="C17" s="422" t="s">
        <v>11</v>
      </c>
    </row>
    <row r="18" spans="1:5" ht="16.5" customHeight="1" x14ac:dyDescent="0.3">
      <c r="A18" s="522" t="s">
        <v>39</v>
      </c>
      <c r="B18" s="522"/>
      <c r="C18" s="458" t="s">
        <v>12</v>
      </c>
    </row>
    <row r="19" spans="1:5" ht="16.5" customHeight="1" x14ac:dyDescent="0.3">
      <c r="A19" s="522" t="s">
        <v>40</v>
      </c>
      <c r="B19" s="522"/>
      <c r="C19" s="458" t="e">
        <f>#REF!</f>
        <v>#REF!</v>
      </c>
    </row>
    <row r="20" spans="1:5" ht="16.5" customHeight="1" x14ac:dyDescent="0.3">
      <c r="A20" s="424"/>
      <c r="B20" s="424"/>
      <c r="C20" s="438"/>
    </row>
    <row r="21" spans="1:5" ht="16.5" customHeight="1" x14ac:dyDescent="0.3">
      <c r="A21" s="517" t="s">
        <v>1</v>
      </c>
      <c r="B21" s="517"/>
      <c r="C21" s="421" t="s">
        <v>119</v>
      </c>
      <c r="D21" s="428"/>
    </row>
    <row r="22" spans="1:5" ht="15.75" customHeight="1" x14ac:dyDescent="0.3">
      <c r="A22" s="521"/>
      <c r="B22" s="521"/>
      <c r="C22" s="419"/>
      <c r="D22" s="521"/>
      <c r="E22" s="521"/>
    </row>
    <row r="23" spans="1:5" ht="33.75" customHeight="1" x14ac:dyDescent="0.3">
      <c r="C23" s="447" t="s">
        <v>120</v>
      </c>
      <c r="D23" s="446" t="s">
        <v>121</v>
      </c>
      <c r="E23" s="414"/>
    </row>
    <row r="24" spans="1:5" ht="15.75" customHeight="1" x14ac:dyDescent="0.3">
      <c r="C24" s="456">
        <v>562.08000000000004</v>
      </c>
      <c r="D24" s="448">
        <f t="shared" ref="D24:D43" si="0">(C24-$C$46)/$C$46</f>
        <v>-5.4858580577353561E-3</v>
      </c>
      <c r="E24" s="415"/>
    </row>
    <row r="25" spans="1:5" ht="15.75" customHeight="1" x14ac:dyDescent="0.3">
      <c r="C25" s="456">
        <v>560.16</v>
      </c>
      <c r="D25" s="449">
        <f t="shared" si="0"/>
        <v>-8.8830028636868591E-3</v>
      </c>
      <c r="E25" s="415"/>
    </row>
    <row r="26" spans="1:5" ht="15.75" customHeight="1" x14ac:dyDescent="0.3">
      <c r="C26" s="456">
        <v>581.92999999999995</v>
      </c>
      <c r="D26" s="449">
        <f t="shared" si="0"/>
        <v>2.9635665066293004E-2</v>
      </c>
      <c r="E26" s="415"/>
    </row>
    <row r="27" spans="1:5" ht="15.75" customHeight="1" x14ac:dyDescent="0.3">
      <c r="C27" s="456">
        <v>540.45000000000005</v>
      </c>
      <c r="D27" s="449">
        <f t="shared" si="0"/>
        <v>-4.375681751228129E-2</v>
      </c>
      <c r="E27" s="415"/>
    </row>
    <row r="28" spans="1:5" ht="15.75" customHeight="1" x14ac:dyDescent="0.3">
      <c r="C28" s="456">
        <v>574.97</v>
      </c>
      <c r="D28" s="449">
        <f t="shared" si="0"/>
        <v>1.7321015144719412E-2</v>
      </c>
      <c r="E28" s="415"/>
    </row>
    <row r="29" spans="1:5" ht="15.75" customHeight="1" x14ac:dyDescent="0.3">
      <c r="C29" s="456">
        <v>555.9</v>
      </c>
      <c r="D29" s="449">
        <f t="shared" si="0"/>
        <v>-1.6420417901891454E-2</v>
      </c>
      <c r="E29" s="415"/>
    </row>
    <row r="30" spans="1:5" ht="15.75" customHeight="1" x14ac:dyDescent="0.3">
      <c r="C30" s="456">
        <v>556.79999999999995</v>
      </c>
      <c r="D30" s="449">
        <f t="shared" si="0"/>
        <v>-1.4828006274101786E-2</v>
      </c>
      <c r="E30" s="415"/>
    </row>
    <row r="31" spans="1:5" ht="15.75" customHeight="1" x14ac:dyDescent="0.3">
      <c r="C31" s="456">
        <v>552.41</v>
      </c>
      <c r="D31" s="449">
        <f t="shared" si="0"/>
        <v>-2.2595436325209328E-2</v>
      </c>
      <c r="E31" s="415"/>
    </row>
    <row r="32" spans="1:5" ht="15.75" customHeight="1" x14ac:dyDescent="0.3">
      <c r="C32" s="456">
        <v>557.72</v>
      </c>
      <c r="D32" s="449">
        <f t="shared" si="0"/>
        <v>-1.3200207721249958E-2</v>
      </c>
      <c r="E32" s="415"/>
    </row>
    <row r="33" spans="1:7" ht="15.75" customHeight="1" x14ac:dyDescent="0.3">
      <c r="C33" s="456">
        <v>564.30999999999995</v>
      </c>
      <c r="D33" s="449">
        <f t="shared" si="0"/>
        <v>-1.5402159133232531E-3</v>
      </c>
      <c r="E33" s="415"/>
    </row>
    <row r="34" spans="1:7" ht="15.75" customHeight="1" x14ac:dyDescent="0.3">
      <c r="C34" s="456">
        <v>577.80999999999995</v>
      </c>
      <c r="D34" s="449">
        <f t="shared" si="0"/>
        <v>2.2345958503522341E-2</v>
      </c>
      <c r="E34" s="415"/>
    </row>
    <row r="35" spans="1:7" ht="15.75" customHeight="1" x14ac:dyDescent="0.3">
      <c r="C35" s="456">
        <v>561.12</v>
      </c>
      <c r="D35" s="449">
        <f t="shared" si="0"/>
        <v>-7.1844304607111076E-3</v>
      </c>
      <c r="E35" s="415"/>
    </row>
    <row r="36" spans="1:7" ht="15.75" customHeight="1" x14ac:dyDescent="0.3">
      <c r="C36" s="456">
        <v>570.41999999999996</v>
      </c>
      <c r="D36" s="449">
        <f t="shared" si="0"/>
        <v>9.2704896931157764E-3</v>
      </c>
      <c r="E36" s="415"/>
    </row>
    <row r="37" spans="1:7" ht="15.75" customHeight="1" x14ac:dyDescent="0.3">
      <c r="C37" s="456">
        <v>570.13</v>
      </c>
      <c r="D37" s="449">
        <f t="shared" si="0"/>
        <v>8.7573792797169363E-3</v>
      </c>
      <c r="E37" s="415"/>
    </row>
    <row r="38" spans="1:7" ht="15.75" customHeight="1" x14ac:dyDescent="0.3">
      <c r="C38" s="456">
        <v>574.24</v>
      </c>
      <c r="D38" s="449">
        <f t="shared" si="0"/>
        <v>1.6029392379956618E-2</v>
      </c>
      <c r="E38" s="415"/>
    </row>
    <row r="39" spans="1:7" ht="15.75" customHeight="1" x14ac:dyDescent="0.3">
      <c r="C39" s="456">
        <v>570.85</v>
      </c>
      <c r="D39" s="449">
        <f t="shared" si="0"/>
        <v>1.0031308581948749E-2</v>
      </c>
      <c r="E39" s="415"/>
    </row>
    <row r="40" spans="1:7" ht="15.75" customHeight="1" x14ac:dyDescent="0.3">
      <c r="C40" s="456">
        <v>559.20000000000005</v>
      </c>
      <c r="D40" s="449">
        <f t="shared" si="0"/>
        <v>-1.0581575266662408E-2</v>
      </c>
      <c r="E40" s="415"/>
    </row>
    <row r="41" spans="1:7" ht="15.75" customHeight="1" x14ac:dyDescent="0.3">
      <c r="C41" s="456">
        <v>574.04999999999995</v>
      </c>
      <c r="D41" s="449">
        <f t="shared" si="0"/>
        <v>1.5693216591867586E-2</v>
      </c>
      <c r="E41" s="415"/>
    </row>
    <row r="42" spans="1:7" ht="15.75" customHeight="1" x14ac:dyDescent="0.3">
      <c r="C42" s="456">
        <v>570.41999999999996</v>
      </c>
      <c r="D42" s="449">
        <f t="shared" si="0"/>
        <v>9.2704896931157764E-3</v>
      </c>
      <c r="E42" s="415"/>
    </row>
    <row r="43" spans="1:7" ht="16.5" customHeight="1" x14ac:dyDescent="0.3">
      <c r="C43" s="457">
        <v>568.64</v>
      </c>
      <c r="D43" s="450">
        <f t="shared" si="0"/>
        <v>6.1210533625984066E-3</v>
      </c>
      <c r="E43" s="415"/>
    </row>
    <row r="44" spans="1:7" ht="16.5" customHeight="1" x14ac:dyDescent="0.3">
      <c r="C44" s="416"/>
      <c r="D44" s="415"/>
      <c r="E44" s="417"/>
    </row>
    <row r="45" spans="1:7" ht="16.5" customHeight="1" x14ac:dyDescent="0.3">
      <c r="B45" s="443" t="s">
        <v>122</v>
      </c>
      <c r="C45" s="444">
        <f>SUM(C24:C44)</f>
        <v>11303.609999999999</v>
      </c>
      <c r="D45" s="439"/>
      <c r="E45" s="416"/>
    </row>
    <row r="46" spans="1:7" ht="17.25" customHeight="1" x14ac:dyDescent="0.3">
      <c r="B46" s="443" t="s">
        <v>123</v>
      </c>
      <c r="C46" s="445">
        <f>AVERAGE(C24:C44)</f>
        <v>565.18049999999994</v>
      </c>
      <c r="E46" s="418"/>
    </row>
    <row r="47" spans="1:7" ht="17.25" customHeight="1" x14ac:dyDescent="0.3">
      <c r="A47" s="422"/>
      <c r="B47" s="440"/>
      <c r="D47" s="420"/>
      <c r="E47" s="418"/>
    </row>
    <row r="48" spans="1:7" ht="33.75" customHeight="1" x14ac:dyDescent="0.3">
      <c r="B48" s="453" t="s">
        <v>123</v>
      </c>
      <c r="C48" s="446" t="s">
        <v>124</v>
      </c>
      <c r="D48" s="441"/>
      <c r="G48" s="420"/>
    </row>
    <row r="49" spans="1:6" ht="17.25" customHeight="1" x14ac:dyDescent="0.3">
      <c r="B49" s="515">
        <f>C46</f>
        <v>565.18049999999994</v>
      </c>
      <c r="C49" s="454">
        <f>-IF(C46&lt;=80,10%,IF(C46&lt;250,7.5%,5%))</f>
        <v>-0.05</v>
      </c>
      <c r="D49" s="442">
        <f>IF(C46&lt;=80,C46*0.9,IF(C46&lt;250,C46*0.925,C46*0.95))</f>
        <v>536.92147499999987</v>
      </c>
    </row>
    <row r="50" spans="1:6" ht="17.25" customHeight="1" x14ac:dyDescent="0.3">
      <c r="B50" s="516"/>
      <c r="C50" s="455">
        <f>IF(C46&lt;=80, 10%, IF(C46&lt;250, 7.5%, 5%))</f>
        <v>0.05</v>
      </c>
      <c r="D50" s="442">
        <f>IF(C46&lt;=80, C46*1.1, IF(C46&lt;250, C46*1.075, C46*1.05))</f>
        <v>593.439525</v>
      </c>
    </row>
    <row r="51" spans="1:6" ht="16.5" customHeight="1" x14ac:dyDescent="0.3">
      <c r="A51" s="425"/>
      <c r="B51" s="426"/>
      <c r="C51" s="422"/>
      <c r="D51" s="427"/>
      <c r="E51" s="422"/>
      <c r="F51" s="428"/>
    </row>
    <row r="52" spans="1:6" ht="16.5" customHeight="1" x14ac:dyDescent="0.3">
      <c r="A52" s="422"/>
      <c r="B52" s="429" t="s">
        <v>26</v>
      </c>
      <c r="C52" s="429"/>
      <c r="D52" s="430" t="s">
        <v>27</v>
      </c>
      <c r="E52" s="431"/>
      <c r="F52" s="430" t="s">
        <v>28</v>
      </c>
    </row>
    <row r="53" spans="1:6" ht="34.5" customHeight="1" x14ac:dyDescent="0.3">
      <c r="A53" s="432" t="s">
        <v>29</v>
      </c>
      <c r="B53" s="472" t="s">
        <v>126</v>
      </c>
      <c r="C53" s="433"/>
      <c r="D53" s="472" t="s">
        <v>127</v>
      </c>
      <c r="E53" s="423"/>
      <c r="F53" s="434"/>
    </row>
    <row r="54" spans="1:6" ht="34.5" customHeight="1" x14ac:dyDescent="0.3">
      <c r="A54" s="432" t="s">
        <v>30</v>
      </c>
      <c r="B54" s="435"/>
      <c r="C54" s="436"/>
      <c r="D54" s="435"/>
      <c r="E54" s="423"/>
      <c r="F54" s="437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0:N30"/>
  <sheetViews>
    <sheetView workbookViewId="0">
      <selection activeCell="K20" sqref="K20"/>
    </sheetView>
  </sheetViews>
  <sheetFormatPr defaultRowHeight="12.75" x14ac:dyDescent="0.2"/>
  <sheetData>
    <row r="20" spans="11:14" x14ac:dyDescent="0.2">
      <c r="K20">
        <f>40/500</f>
        <v>0.08</v>
      </c>
    </row>
    <row r="23" spans="11:14" x14ac:dyDescent="0.2">
      <c r="N23">
        <f>12.5*0.8</f>
        <v>10</v>
      </c>
    </row>
    <row r="30" spans="11:14" x14ac:dyDescent="0.2">
      <c r="L30">
        <f>12.5/5*4/10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SST</vt:lpstr>
      <vt:lpstr>Dihydroartemesinin</vt:lpstr>
      <vt:lpstr>SST (2)</vt:lpstr>
      <vt:lpstr>Piperaquine Phosp</vt:lpstr>
      <vt:lpstr>Uniformity</vt:lpstr>
      <vt:lpstr>Sheet1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Michael</cp:lastModifiedBy>
  <cp:lastPrinted>2015-08-17T10:56:35Z</cp:lastPrinted>
  <dcterms:created xsi:type="dcterms:W3CDTF">2005-07-05T10:19:27Z</dcterms:created>
  <dcterms:modified xsi:type="dcterms:W3CDTF">2015-08-17T10:56:55Z</dcterms:modified>
</cp:coreProperties>
</file>